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440" windowHeight="12300" tabRatio="376" activeTab="2"/>
  </bookViews>
  <sheets>
    <sheet name="Du toan chi" sheetId="1" r:id="rId1"/>
    <sheet name="bang tinh muc thu " sheetId="2" r:id="rId2"/>
    <sheet name="bieuthu" sheetId="3" r:id="rId3"/>
    <sheet name="Du toanthu chi" sheetId="4" r:id="rId4"/>
    <sheet name="du toan 2020" sheetId="5" state="hidden" r:id="rId5"/>
    <sheet name="GDBD" sheetId="6" state="hidden" r:id="rId6"/>
    <sheet name="Bao cao 3 nam" sheetId="7" state="hidden" r:id="rId7"/>
    <sheet name="luongcb" sheetId="8" state="hidden" r:id="rId8"/>
    <sheet name="luongcb2020"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Fill" hidden="1">#REF!</definedName>
    <definedName name="aí6">'[6]DG Tong hop'!#REF!</definedName>
    <definedName name="_xlnm.Print_Area" localSheetId="3">'Du toanthu chi'!$B$1:$H$71</definedName>
    <definedName name="_xlnm.Print_Titles" localSheetId="1">'bang tinh muc thu '!$4:$4</definedName>
    <definedName name="_xlnm.Print_Titles" localSheetId="6">'Bao cao 3 nam'!$4:$5</definedName>
    <definedName name="_xlnm.Print_Titles" localSheetId="2">'bieuthu'!$7:$8</definedName>
    <definedName name="_xlnm.Print_Titles" localSheetId="4">'du toan 2020'!$3:$3</definedName>
    <definedName name="_xlnm.Print_Titles" localSheetId="0">'Du toan chi'!$4:$5</definedName>
    <definedName name="_xlnm.Print_Titles" localSheetId="3">'Du toanthu chi'!$3:$3</definedName>
  </definedNames>
  <calcPr fullCalcOnLoad="1"/>
</workbook>
</file>

<file path=xl/comments4.xml><?xml version="1.0" encoding="utf-8"?>
<comments xmlns="http://schemas.openxmlformats.org/spreadsheetml/2006/main">
  <authors>
    <author>Admin</author>
  </authors>
  <commentList>
    <comment ref="G49" authorId="0">
      <text>
        <r>
          <rPr>
            <b/>
            <sz val="9"/>
            <rFont val="Tahoma"/>
            <family val="2"/>
          </rPr>
          <t>Admin:</t>
        </r>
        <r>
          <rPr>
            <sz val="9"/>
            <rFont val="Tahoma"/>
            <family val="2"/>
          </rPr>
          <t xml:space="preserve">
1/2 tháng lương cơ bản</t>
        </r>
      </text>
    </comment>
  </commentList>
</comments>
</file>

<file path=xl/comments5.xml><?xml version="1.0" encoding="utf-8"?>
<comments xmlns="http://schemas.openxmlformats.org/spreadsheetml/2006/main">
  <authors>
    <author>Admin</author>
  </authors>
  <commentList>
    <comment ref="F15" authorId="0">
      <text>
        <r>
          <rPr>
            <b/>
            <sz val="9"/>
            <rFont val="Tahoma"/>
            <family val="2"/>
          </rPr>
          <t>Admin:</t>
        </r>
        <r>
          <rPr>
            <sz val="9"/>
            <rFont val="Tahoma"/>
            <family val="2"/>
          </rPr>
          <t xml:space="preserve">
1/2 tháng lương cơ bản</t>
        </r>
      </text>
    </comment>
  </commentList>
</comments>
</file>

<file path=xl/comments7.xml><?xml version="1.0" encoding="utf-8"?>
<comments xmlns="http://schemas.openxmlformats.org/spreadsheetml/2006/main">
  <authors>
    <author>Admin</author>
  </authors>
  <commentList>
    <comment ref="I14" authorId="0">
      <text>
        <r>
          <rPr>
            <b/>
            <sz val="9"/>
            <rFont val="Tahoma"/>
            <family val="2"/>
          </rPr>
          <t>Admin:</t>
        </r>
        <r>
          <rPr>
            <sz val="9"/>
            <rFont val="Tahoma"/>
            <family val="2"/>
          </rPr>
          <t xml:space="preserve">
Nhân công hộ GĐ cá nhân
</t>
        </r>
      </text>
    </comment>
  </commentList>
</comments>
</file>

<file path=xl/sharedStrings.xml><?xml version="1.0" encoding="utf-8"?>
<sst xmlns="http://schemas.openxmlformats.org/spreadsheetml/2006/main" count="839" uniqueCount="277">
  <si>
    <t>STT</t>
  </si>
  <si>
    <t>Ghi chú</t>
  </si>
  <si>
    <t>Nội dung</t>
  </si>
  <si>
    <t>VĂN PHÒNG ĐĂNG KÝ  ĐẤT ĐAI TỈNH DỒNG NAI</t>
  </si>
  <si>
    <t>ĐVT</t>
  </si>
  <si>
    <t xml:space="preserve"> đồng</t>
  </si>
  <si>
    <t>Cộng</t>
  </si>
  <si>
    <t xml:space="preserve">Tổng thu </t>
  </si>
  <si>
    <t>Trích nộp 40% cải cách tiền lương</t>
  </si>
  <si>
    <t>Nước sinh hoạt</t>
  </si>
  <si>
    <t>+</t>
  </si>
  <si>
    <t>Ngân sách cấp thực hiện công tác đăng ký giao dịch bảo đảm</t>
  </si>
  <si>
    <t>Nộp ngân sách (Văn phòng Đăng ký tỉnh và Chi nhánh Biên Hòa, thị xã Long Khánh nộp 30%)</t>
  </si>
  <si>
    <t>BÁO CÁO THU CHI CÔNG TÁC ĐĂNG KÝ GIAO DỊCH BẢO ĐẢM TRÊN ĐỊA BÀN TỈNH ĐỒNG NAI</t>
  </si>
  <si>
    <t>Chi hoạt động công tác đăng ký giao dịch bảo đảm</t>
  </si>
  <si>
    <t>VĂN PHÒNG ĐĂNG KÝ ĐẤT ĐAI TỈNH ĐỒNG NAI</t>
  </si>
  <si>
    <t>DANH SÁCH VIÊN CHỨC THỰC HIỆN CÁC THỦ TỤC ĐĂNG KÝ GIAO DỊCH BẢO ĐẢM 
TẠI VĂN PHÒNG ĐĂNG KÝ ĐẤT ĐAI</t>
  </si>
  <si>
    <t>Phụ lục 01</t>
  </si>
  <si>
    <t>TT</t>
  </si>
  <si>
    <t>Họ và tên Viên chức</t>
  </si>
  <si>
    <t>Hệ số lương 
đang hưởng</t>
  </si>
  <si>
    <t>Đơn vị</t>
  </si>
  <si>
    <t>Trần Thị Kiều Hạnh</t>
  </si>
  <si>
    <t>Chi nhánh Biên Hòa</t>
  </si>
  <si>
    <t>Đỗ Thị Cẩm Thanh</t>
  </si>
  <si>
    <t>Đặng Thị Ngân Hà</t>
  </si>
  <si>
    <t>Chi nhánh Long Thành</t>
  </si>
  <si>
    <t>Chi nhánh Nhơn Trạch</t>
  </si>
  <si>
    <t>Chi nhánh Vĩnh Cửu</t>
  </si>
  <si>
    <t>Chi nhánh Trảng Bom</t>
  </si>
  <si>
    <t>Chi nhánh Thống Nhất</t>
  </si>
  <si>
    <t>Nguyễn Hữu Đức</t>
  </si>
  <si>
    <t>Chi nhánh Long Khánh</t>
  </si>
  <si>
    <t xml:space="preserve">Chi nhánh Cẩm Mỹ </t>
  </si>
  <si>
    <t>Lê Thị Hằng</t>
  </si>
  <si>
    <t xml:space="preserve">Chi nhánh Xuân Lộc </t>
  </si>
  <si>
    <t>Chi nhánh Định Quán</t>
  </si>
  <si>
    <t>Chi nhánh Tân Phú</t>
  </si>
  <si>
    <t>Văn phòng tỉnh</t>
  </si>
  <si>
    <t>Tổng hệ số</t>
  </si>
  <si>
    <t>Quỹ lương  chi trả</t>
  </si>
  <si>
    <t xml:space="preserve"> 5 tháng năm 2016</t>
  </si>
  <si>
    <t xml:space="preserve"> 7 tháng năm 2016</t>
  </si>
  <si>
    <t>Các khoản trích nộp</t>
  </si>
  <si>
    <t>Tổng 02 khoản nhân công</t>
  </si>
  <si>
    <t>Khoán chi khác 30 triệu</t>
  </si>
  <si>
    <t>Tổng chi</t>
  </si>
  <si>
    <t>Cấp biên chế 74 triệu/1 suất -24 suất</t>
  </si>
  <si>
    <t>LƯƠNG CƠ BẢN</t>
  </si>
  <si>
    <t xml:space="preserve">Nhân công  </t>
  </si>
  <si>
    <t>a</t>
  </si>
  <si>
    <t xml:space="preserve">Tiền lương, tiền công </t>
  </si>
  <si>
    <t>Thu nhập bình quân 01 viên chức thực hiện công tác</t>
  </si>
  <si>
    <t>b</t>
  </si>
  <si>
    <t>c</t>
  </si>
  <si>
    <t>d</t>
  </si>
  <si>
    <t>Khấu hao TSCĐ</t>
  </si>
  <si>
    <t xml:space="preserve">Chi phí khác </t>
  </si>
  <si>
    <t>C</t>
  </si>
  <si>
    <t>CHÊNH LỆCH THU CHI</t>
  </si>
  <si>
    <t>D</t>
  </si>
  <si>
    <t>SO SÁNH CHI/THU</t>
  </si>
  <si>
    <t xml:space="preserve">Lương cơ bản của viên chức thực hiện
 sản phẩm </t>
  </si>
  <si>
    <t xml:space="preserve">Khen thưởng cuối năm </t>
  </si>
  <si>
    <t>Các khoản thanh toán cho cá nhân (đồng phục, khám sức khỏe….)</t>
  </si>
  <si>
    <r>
      <t>Nguồn thu để</t>
    </r>
    <r>
      <rPr>
        <b/>
        <sz val="13"/>
        <color indexed="40"/>
        <rFont val="Times New Roman"/>
        <family val="1"/>
      </rPr>
      <t xml:space="preserve"> đơn vị </t>
    </r>
    <r>
      <rPr>
        <b/>
        <sz val="13"/>
        <color indexed="8"/>
        <rFont val="Times New Roman"/>
        <family val="1"/>
      </rPr>
      <t>được chi cho công tác đăng ký giao dịch bảo đảm</t>
    </r>
  </si>
  <si>
    <t>03 NĂM: NĂM 2017, 2018, 2019</t>
  </si>
  <si>
    <t>03 NĂM 2017 - 2019</t>
  </si>
  <si>
    <t>NĂM 2017</t>
  </si>
  <si>
    <t>NĂM 2018</t>
  </si>
  <si>
    <t>NĂM 2019</t>
  </si>
  <si>
    <t>VĂN PHÒNG ĐĂ NG KÝ ĐẤT ĐAI TỈNH ĐỒNG NAI</t>
  </si>
  <si>
    <t>Diễn giải</t>
  </si>
  <si>
    <t>THÁNG 08 NĂM 2017
ĐẾN THÁNG 31/ 12/2017</t>
  </si>
  <si>
    <t>TỔNG CỘNG</t>
  </si>
  <si>
    <t>Số thu</t>
  </si>
  <si>
    <t>Nộp ngân sách</t>
  </si>
  <si>
    <t>Trích để lại</t>
  </si>
  <si>
    <t>VPĐK tỉnh Đồng Nai</t>
  </si>
  <si>
    <t>BÁO CÁO THU PHÍ GIAO DỊCH BẢO ĐẢM  TỪ THÁNG 8/2017 ĐẾN 31/12/2019 (THEO QĐ 2552/QĐ-UBND)</t>
  </si>
  <si>
    <t>QĐ SỐ 15/2012/QĐ-UBND</t>
  </si>
  <si>
    <t>Huỳnh Thị Ngọc Phước</t>
  </si>
  <si>
    <t>Phạm Công Minh</t>
  </si>
  <si>
    <t>Đào Thị Quỳnh</t>
  </si>
  <si>
    <t>Nguyễn Nhật Bảo</t>
  </si>
  <si>
    <t>Nguyễn Văn Dong</t>
  </si>
  <si>
    <t>Nguyễn Phan Huy</t>
  </si>
  <si>
    <t>Nguyễn Hữu Việt</t>
  </si>
  <si>
    <t>Lê Đình Trung</t>
  </si>
  <si>
    <t>Nguyễn Công Dân</t>
  </si>
  <si>
    <t>Nguyễn Thành Duy</t>
  </si>
  <si>
    <t>Nguyễn Huỳnh Thanh Lan</t>
  </si>
  <si>
    <t>Trần Xuân Viên</t>
  </si>
  <si>
    <t>Vòng Lỷ Nhục</t>
  </si>
  <si>
    <t>Lê Khánh Hòa</t>
  </si>
  <si>
    <t>Nguyễn Văn Long</t>
  </si>
  <si>
    <t>Lê Thanh Trúc</t>
  </si>
  <si>
    <t>Vũ Thái Sơn</t>
  </si>
  <si>
    <t>Hồ Văn Hải</t>
  </si>
  <si>
    <t>Hoàng Minh Thắng</t>
  </si>
  <si>
    <t>Đoàn Thị Kim Thiện</t>
  </si>
  <si>
    <t>Trương Thị Hồng Nhung</t>
  </si>
  <si>
    <t>2017</t>
  </si>
  <si>
    <t>2018</t>
  </si>
  <si>
    <t>2019</t>
  </si>
  <si>
    <t>Trích để lại 7 tháng đầu năm 2017(Văn phòng Đăng ký tỉnh và Chi nhánh Biên Hòa, thị xã Long Khánh để lại 70%; Các Chi nhánh còn lại để lại 100% ); năm 2018 và 2019 để lại 100%</t>
  </si>
  <si>
    <t>Thu Phí giao dịch bảo đảm</t>
  </si>
  <si>
    <t>Nguồn thu phí giao dịch bảo đảm</t>
  </si>
  <si>
    <t xml:space="preserve"> Các khoản đóng góp 23,5% BHXH, BHYT, BHTN, KPCĐ</t>
  </si>
  <si>
    <t>e</t>
  </si>
  <si>
    <t>Khoán công tác phí, xăng xe, điện thoại</t>
  </si>
  <si>
    <t>Vật tư, VPP, công cụ, dụng cụ, điện năng</t>
  </si>
  <si>
    <t>Thuê bưu điện thu hộ phí</t>
  </si>
  <si>
    <t>Tiền rác sinh hoạt</t>
  </si>
  <si>
    <t>Sửa chữa, bảo trì máy móc, thiết bị</t>
  </si>
  <si>
    <t>Đặng Thị Mỹ Kiều</t>
  </si>
  <si>
    <t>Phạm Thị Khánh</t>
  </si>
  <si>
    <t>Chi khác</t>
  </si>
  <si>
    <t>Trịnh Quốc Dũng</t>
  </si>
  <si>
    <t>Ghi chú: Ra soát khối lượng năm 2017 và 2018</t>
  </si>
  <si>
    <t>Phụ lục 3:</t>
  </si>
  <si>
    <t>Stt</t>
  </si>
  <si>
    <t>Đơn vị tính</t>
  </si>
  <si>
    <t xml:space="preserve">Số lượng </t>
  </si>
  <si>
    <t>Mức thu/chi</t>
  </si>
  <si>
    <t>Thành tiền
(đồng)</t>
  </si>
  <si>
    <t>A</t>
  </si>
  <si>
    <t>TỔNG THU</t>
  </si>
  <si>
    <t>B</t>
  </si>
  <si>
    <t>DỰ TOÁN CHI</t>
  </si>
  <si>
    <t>12 tháng</t>
  </si>
  <si>
    <t>1 tháng</t>
  </si>
  <si>
    <t>Khen thưởng cuối năm (01 tháng lương cơ bản)</t>
  </si>
  <si>
    <t>Thông tin liên lạc</t>
  </si>
  <si>
    <t>Tính chi phí tại 11 Chi nhánh</t>
  </si>
  <si>
    <t xml:space="preserve">DỰ TOÁN THU CHI NĂM 2020
Phí đăng ký giao dịch bảo đảm
TẠI VĂN PHÒNG ĐĂNG KÝ ĐẤT ĐAI TỈNH ĐỒNG NAI (BAO GỒM 11 CHI NHÁNH 
CÁC HUYỆN, THÀNH PHỐ LONG KHÁNH VÀ  BIÊN HÒA)
</t>
  </si>
  <si>
    <t>I</t>
  </si>
  <si>
    <t>Hồ sơ/Thửa/GCN</t>
  </si>
  <si>
    <t>Đối với hồ sơ tổ chức:</t>
  </si>
  <si>
    <t>Đăng ký  thế chấp, Xóa đăng ký thế chấp bằng quyền sử dụng đất, quyền sở hữu nhà ở và tài sản khác gắn liền với đất</t>
  </si>
  <si>
    <t>Đăng ký thế chấp, Xóa đăng ký thế chấp,  Thay đổi nội dung đã đăng ký thế chấp  bằng quyền sử dụng đất hoặc quyền sở hữu nhà ở và tài sản khác gắn liền với đất hoặc tài sản hình thành trong tương lai.</t>
  </si>
  <si>
    <t>Đối với hồ sơ hộ gia đình, cá nhân:</t>
  </si>
  <si>
    <t>Lương làm thêm giờ</t>
  </si>
  <si>
    <t>200 giờ</t>
  </si>
  <si>
    <t xml:space="preserve"> 23,5% BHXH, BHYT, BHTN, KPCĐ</t>
  </si>
  <si>
    <t>Các khoản chi cho con người</t>
  </si>
  <si>
    <t>f</t>
  </si>
  <si>
    <t>Chi tiền cơm trưa</t>
  </si>
  <si>
    <t>g</t>
  </si>
  <si>
    <t>Các khoản chi khác</t>
  </si>
  <si>
    <t>Định mức quy định tại TT số 14/2017/TT-BTNMT</t>
  </si>
  <si>
    <t>3</t>
  </si>
  <si>
    <t>Vật liệu, dụng cụ, khấu hao máy và điện năng</t>
  </si>
  <si>
    <t>Lương cơ bản của viên chức trực tiếp thực hiện sản phẩm dịch vụ</t>
  </si>
  <si>
    <t>Lương tăng thêm của viên chức trực tiếp</t>
  </si>
  <si>
    <t>Lương cơ bản của viên chức gián tiếp 15% nguồn quản lý chung</t>
  </si>
  <si>
    <t>2020</t>
  </si>
  <si>
    <t>Nước uống</t>
  </si>
  <si>
    <t>Huỳnh Văn Tuấn</t>
  </si>
  <si>
    <t>Nguyễn Thị Thanh Hiền</t>
  </si>
  <si>
    <t>Dương Thị Tố Uyên</t>
  </si>
  <si>
    <t>Nguyễn Thị Thùy Hương</t>
  </si>
  <si>
    <t>Phạm Thị Bích Loan</t>
  </si>
  <si>
    <t>Lê Thị Kim Nhã</t>
  </si>
  <si>
    <t>Nguyễn Văn Châu</t>
  </si>
  <si>
    <t>Lê Tiến Đình</t>
  </si>
  <si>
    <t>Phan Huỳnh Cẩm Yến</t>
  </si>
  <si>
    <t>Dương Văn Nhất</t>
  </si>
  <si>
    <t>Trần Thị Tuyết</t>
  </si>
  <si>
    <t>Nguyễn Thị Thanh Xuân</t>
  </si>
  <si>
    <t>Lê Thị Hồng Thơm</t>
  </si>
  <si>
    <t>Nguyễn Thành Đạt</t>
  </si>
  <si>
    <t>Nguyễn Văn Văn Đính</t>
  </si>
  <si>
    <t>Nguyễn Thị Thanh Thủy</t>
  </si>
  <si>
    <t>Nguyễn Đình Hà</t>
  </si>
  <si>
    <t>Nguyễn Thị Mỹ Xuân</t>
  </si>
  <si>
    <t>Lương tăng thêm 1/2 tháng lương cơ bản</t>
  </si>
  <si>
    <t xml:space="preserve">Chi khác </t>
  </si>
  <si>
    <t>ỦY BAN NHÂN DÂN</t>
  </si>
  <si>
    <t>CỘNG HÒA XÃ HỘI CHỦ NGHĨA VIỆT NAM</t>
  </si>
  <si>
    <t>TỈNH ĐỒNG NAI</t>
  </si>
  <si>
    <t>Độc lập -Tự do - Hạnh phúc</t>
  </si>
  <si>
    <t>(Kèm theo Tờ trình số           /TTr-UBND ngày            tháng        năm 2020
của Ủy ban nhân dân tỉnh Đồng Nai)</t>
  </si>
  <si>
    <t>MỨC THU PHÍ (Đồng)</t>
  </si>
  <si>
    <t>VPĐK</t>
  </si>
  <si>
    <t>TTCNTT</t>
  </si>
  <si>
    <t xml:space="preserve">VPĐK </t>
  </si>
  <si>
    <t xml:space="preserve">Ghi chú: </t>
  </si>
  <si>
    <t>Tổ chức</t>
  </si>
  <si>
    <t>Hộ gia đình, cá nhân</t>
  </si>
  <si>
    <t>BIỂU MỨC THU PHÍ ĐĂNG KÝ GIAO DỊCH BẢO ĐẢM BẰNG QUYỀN SỬ DỤNG ĐẤT, TÀI SẢN GẮN LIỀN VỚI ĐẤT TRÊN ĐỊA BÀN TỈNH ĐỒNG NAI</t>
  </si>
  <si>
    <t>Phụ lục 03</t>
  </si>
  <si>
    <t>Đăng ký  thế chấp quyền sử dụng đất</t>
  </si>
  <si>
    <t>Đăng ký thế chấp tài sản gắn liền với đất</t>
  </si>
  <si>
    <t>Đăng ký thế chấp quyền sử dụng đất đồng thời với tài sản gắn liền với đất</t>
  </si>
  <si>
    <t>Đăng ký thay đổi nội dung thế chấp đã đăng ký</t>
  </si>
  <si>
    <t>Đăng ký văn bản thông báo về việc xử lý tài sản thế chấp trong trường hợp đã đăng ký thế chấp</t>
  </si>
  <si>
    <t xml:space="preserve">Xóa đăng ký thế chấp giấy chứng nhận đối với cả đất và tài sản gắn liền với đất </t>
  </si>
  <si>
    <t xml:space="preserve">BẢNG XÁC ĐỊNH MỨC THU 
</t>
  </si>
  <si>
    <t xml:space="preserve">Nội dung </t>
  </si>
  <si>
    <t>Khối lượng</t>
  </si>
  <si>
    <t>Thành tiền</t>
  </si>
  <si>
    <t>Số tháng</t>
  </si>
  <si>
    <t>Tổng cộng</t>
  </si>
  <si>
    <t>Dự toán chi</t>
  </si>
  <si>
    <t>CHI PHÍ TRỰC TIẾP</t>
  </si>
  <si>
    <t>ĐỐI VỚI HỒ SƠ TỔ CHỨC</t>
  </si>
  <si>
    <t>-</t>
  </si>
  <si>
    <t>Nhân công</t>
  </si>
  <si>
    <t>Vật tư</t>
  </si>
  <si>
    <t>Công cụ dụng cụ</t>
  </si>
  <si>
    <t>Khấu hao máy móc</t>
  </si>
  <si>
    <t>Điện năng</t>
  </si>
  <si>
    <t>ĐỐI VỚI HỒ SƠ HỘ GIA ĐÌNH, CÁ NHÂN</t>
  </si>
  <si>
    <t>II</t>
  </si>
  <si>
    <t>CHI PHÍ CHUNG</t>
  </si>
  <si>
    <t>Tiền lương cho bộ phận thu phí (12 người)</t>
  </si>
  <si>
    <t>Các khoản đóng góp 23,5%</t>
  </si>
  <si>
    <t>Bảo trì, sửa chữa máy (300.000 đồng/máy/quý)</t>
  </si>
  <si>
    <t>Chi sửa chữa thường xuyên tài sản</t>
  </si>
  <si>
    <t>Chi tiền thu hộ bưu điện 2%</t>
  </si>
  <si>
    <t>Thanh toán dịch vụ công cộng khác</t>
  </si>
  <si>
    <t>Thông tin liên lạc- khoán chi 200.000 đồng/ tháng/1 viên chức</t>
  </si>
  <si>
    <t>Khoán công tác phí 200.000 đồng/ tháng/1 viên chức</t>
  </si>
  <si>
    <t xml:space="preserve">Chi tiền nước uống cho viên chức và khách đến làm viêc </t>
  </si>
  <si>
    <t>Tiền rác thải sinh hoạt</t>
  </si>
  <si>
    <t>Nước sinh hoạt 8.000.000 đồng/ tháng/1 đơn vị</t>
  </si>
  <si>
    <t>Mức thu phí</t>
  </si>
  <si>
    <t>Tỷ lệ chi thực tế chiếm trong mức thu</t>
  </si>
  <si>
    <t>NỘI DUNG</t>
  </si>
  <si>
    <t>Chi phí trực tiếp</t>
  </si>
  <si>
    <t>Chi phí 
chung</t>
  </si>
  <si>
    <t>Đơn giá</t>
  </si>
  <si>
    <t>Vật liệu</t>
  </si>
  <si>
    <t xml:space="preserve">Dụng cụ </t>
  </si>
  <si>
    <t>Khấu hao
 máy</t>
  </si>
  <si>
    <t>TỔNG CHI</t>
  </si>
  <si>
    <t>Chi phí trưc tiếp</t>
  </si>
  <si>
    <t>Khen thưởng 1 tháng lương cơ bản</t>
  </si>
  <si>
    <t>Chi phí nhân công</t>
  </si>
  <si>
    <t>Chi phí vật tư</t>
  </si>
  <si>
    <t>Công cụ, dụng cụ,</t>
  </si>
  <si>
    <t>Chi phí điện năng</t>
  </si>
  <si>
    <t>Chi phí khấu hao máy móc</t>
  </si>
  <si>
    <t>Số giấy tăng thêm</t>
  </si>
  <si>
    <t>Giấy</t>
  </si>
  <si>
    <t>Nước sinh hoạt 6.000.000 đồng/ tháng/1 đơn vị</t>
  </si>
  <si>
    <t>Chia sửa máy tính 30% máy cần sửa 1 quý 1 lần (500.000/lần)</t>
  </si>
  <si>
    <t>Chi sửa 12 máy in và 12 máy scan A3,A4, quý sửa 1 lần (800.000/lần) (30% số máy cần sửa)</t>
  </si>
  <si>
    <t xml:space="preserve">Mua kệ đựng hồ sơ </t>
  </si>
  <si>
    <t xml:space="preserve">Đăng ký văn bản thông báo về việc xử lý tài sản thế chấp trong trường hợp đã đăng ký thế chấp bằng giấy CN quyền sử dụng đất </t>
  </si>
  <si>
    <t xml:space="preserve">Đăng ký văn bản thông báo về việc xử lý tài sản thế chấp trong trường hợp đã đăng ký thế chấp  riêng đối với tài sản </t>
  </si>
  <si>
    <t>Đăng ký văn bản thông báo về việc xử lý tài sản thế chấp trong trường hợp đã đăng ký thế chấp đối với cả đất và tài sản gắn liền với đất , tài sản hình thành trong tương lai.</t>
  </si>
  <si>
    <t>Xóa đăng ký thế chấp bằng quyền sử dụng đất</t>
  </si>
  <si>
    <t xml:space="preserve">Xóa đăng ký thế chấp riêng đối với tài sản </t>
  </si>
  <si>
    <t>Đăng ký Thế chấp tài sản gắn liền với đất hình thành trong tương lai (Định mức giống mục 2)</t>
  </si>
  <si>
    <t>Đăng ký thế chấp quyền sử dụng đất đồng thời với tài sản gắn liền với đất hình thành trong tương lai. (Định mức giống mục 3)</t>
  </si>
  <si>
    <t>Đăng ký thế chấp dự án đầu tư xây dựng nhà ở, dự án đầu tư xây dựng công trình xây dựng không phải là nhà ở, dự án đầu tư xây dựng khác theo quy định của pháp luật (Định mức giống mục 5)</t>
  </si>
  <si>
    <t>Thay đổi nội dung thế chấp bằng giấy CN quyền sử dụng đất  (Định mức giống mục 1)</t>
  </si>
  <si>
    <t>Thay đổi nội dung thế chấp  riêng đối với tài sản (Định mức giống mục 2)</t>
  </si>
  <si>
    <t>Thay đổi nội dung thế chấp đối với cả đất và tài sản gắn liền với đất , tài sản hình thành trong tương lai.(Định mức giống mục 3)</t>
  </si>
  <si>
    <t>LOẠI HỒ SƠ</t>
  </si>
  <si>
    <t>Phụ lục số 01</t>
  </si>
  <si>
    <t xml:space="preserve">PHÍ ĐĂNG KÝ GIAO DỊCH BẢO ĐẢM BẰNG QUYỀN SỬ DỤNG ĐẤT, TÀI SẢN GẮN LIỀN VỚI ĐẤT
TẠI VĂN PHÒNG ĐĂNG KÝ ĐẤT ĐAI TỈNH ĐỒNG NAI </t>
  </si>
  <si>
    <t>Phụ lục số 02</t>
  </si>
  <si>
    <t>Chi phí chung</t>
  </si>
  <si>
    <t>Phụ lục số 04</t>
  </si>
  <si>
    <t xml:space="preserve">Đăng ký Thế chấp tài sản gắn liền với đất hình thành trong tương lai </t>
  </si>
  <si>
    <t xml:space="preserve">Đăng ký thế chấp quyền sử dụng đất đồng thời với tài sản gắn liền với đất hình thành trong tương lai. </t>
  </si>
  <si>
    <t xml:space="preserve">Đăng ký thế chấp dự án đầu tư xây dựng nhà ở, dự án đầu tư xây dựng công trình xây dựng không phải là nhà ở, dự án đầu tư xây dựng khác theo quy định của pháp luật </t>
  </si>
  <si>
    <t xml:space="preserve">Thay đổi nội dung thế chấp bằng giấy CN quyền sử dụng đất  </t>
  </si>
  <si>
    <t xml:space="preserve">Thay đổi nội dung thế chấp  riêng đối với tài sản </t>
  </si>
  <si>
    <t>Thay đổi nội dung thế chấp đối với cả đất và tài sản gắn liền với đất , tài sản hình thành trong tương lai.</t>
  </si>
  <si>
    <t xml:space="preserve"> </t>
  </si>
  <si>
    <t>BẢNG DỰ TOÁN CHI PHÍ TRỰC TIẾP 01 NĂM (2024)
Phí đăng ký giao dịch bảo đảm bằng quyền sử dụng đất, tài sản gắn liền với đất</t>
  </si>
  <si>
    <t>Đối với hồ sơ nhiều giấy thì mỗi giấy tăng thêm tính 50.000 đồng</t>
  </si>
  <si>
    <t xml:space="preserve">DỰ TOÁN THU CHI NĂM 2024
Phí đăng ký giao dịch bảo đảm bằng quyền sử dụng đất, tài sản gắn liền với đất trên địa bàn tỉnh Đồng Nai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</si>
</sst>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0_);_(* \(#,##0.0\);_(* &quot;-&quot;??_);_(@_)"/>
    <numFmt numFmtId="175" formatCode="_(* #,##0_);_(* \(#,##0\);_(* &quot;-&quot;??_);_(@_)"/>
    <numFmt numFmtId="176" formatCode="_(* #,##0.0_);_(* \(#,##0.0\);_(* &quot;-&quot;?_);_(@_)"/>
    <numFmt numFmtId="177" formatCode="#,##0.0"/>
    <numFmt numFmtId="178" formatCode="_(* #,##0.000_);_(* \(#,##0.000\);_(* &quot;-&quot;??_);_(@_)"/>
    <numFmt numFmtId="179" formatCode="#,##0.000"/>
    <numFmt numFmtId="180" formatCode="#,##0.0000"/>
    <numFmt numFmtId="181" formatCode="#,##0.00000"/>
    <numFmt numFmtId="182" formatCode="_ * #,##0.00_ ;_ * \-#,##0.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
    <numFmt numFmtId="188" formatCode="#.##0.0"/>
    <numFmt numFmtId="189" formatCode="_(* #.##0.0_);_(* \(#.##0.0\);_(* &quot;-&quot;??_);_(@_)"/>
    <numFmt numFmtId="190" formatCode="_(* #.##0.00_);_(* \(#.##0.00\);_(* &quot;-&quot;??_);_(@_)"/>
    <numFmt numFmtId="191" formatCode="0.0000"/>
    <numFmt numFmtId="192" formatCode="0.000"/>
    <numFmt numFmtId="193" formatCode="0.0"/>
    <numFmt numFmtId="194" formatCode="_ * #,##0_ ;_ * \-#,##0_ ;_ * &quot;-&quot;??_ ;_ @_ "/>
    <numFmt numFmtId="195" formatCode="#.##0.00"/>
    <numFmt numFmtId="196" formatCode="_(* #.##0_);_(* \(#.##0\);_(* &quot;-&quot;??_);_(@_)"/>
    <numFmt numFmtId="197" formatCode="[$-409]dddd\,\ mmmm\ dd\,\ yyyy"/>
    <numFmt numFmtId="198" formatCode="[$-409]h:mm:ss\ AM/PM"/>
    <numFmt numFmtId="199" formatCode="0.000%"/>
    <numFmt numFmtId="200" formatCode="#.##0_);\(#.##0\)"/>
    <numFmt numFmtId="201" formatCode="_(* #.##0_);_(* \(#.##0\);_(* &quot;-&quot;_);_(@_)"/>
    <numFmt numFmtId="202" formatCode="0.0%"/>
  </numFmts>
  <fonts count="127">
    <font>
      <sz val="14"/>
      <color theme="1"/>
      <name val="Times New Roman"/>
      <family val="2"/>
    </font>
    <font>
      <sz val="14"/>
      <color indexed="8"/>
      <name val="Times New Roman"/>
      <family val="2"/>
    </font>
    <font>
      <b/>
      <sz val="11"/>
      <name val="Times New Roman"/>
      <family val="1"/>
    </font>
    <font>
      <sz val="8"/>
      <color indexed="8"/>
      <name val="Arial"/>
      <family val="2"/>
    </font>
    <font>
      <sz val="10"/>
      <name val="Arial"/>
      <family val="2"/>
    </font>
    <font>
      <b/>
      <sz val="11"/>
      <color indexed="8"/>
      <name val="Times New Roman"/>
      <family val="1"/>
    </font>
    <font>
      <b/>
      <sz val="16"/>
      <name val="Times New Roman"/>
      <family val="1"/>
    </font>
    <font>
      <i/>
      <sz val="13"/>
      <color indexed="8"/>
      <name val="Times New Roman"/>
      <family val="1"/>
    </font>
    <font>
      <b/>
      <sz val="13"/>
      <color indexed="8"/>
      <name val="Times New Roman"/>
      <family val="1"/>
    </font>
    <font>
      <b/>
      <sz val="13"/>
      <name val="Times New Roman"/>
      <family val="1"/>
    </font>
    <font>
      <sz val="13"/>
      <color indexed="8"/>
      <name val="Times New Roman"/>
      <family val="1"/>
    </font>
    <font>
      <sz val="14"/>
      <name val="Times New Roman"/>
      <family val="1"/>
    </font>
    <font>
      <b/>
      <sz val="14"/>
      <name val="Times New Roman"/>
      <family val="1"/>
    </font>
    <font>
      <sz val="9"/>
      <name val="Tahoma"/>
      <family val="2"/>
    </font>
    <font>
      <b/>
      <sz val="9"/>
      <name val="Tahoma"/>
      <family val="2"/>
    </font>
    <font>
      <b/>
      <sz val="13"/>
      <color indexed="40"/>
      <name val="Times New Roman"/>
      <family val="1"/>
    </font>
    <font>
      <sz val="11"/>
      <color indexed="8"/>
      <name val="Calibri"/>
      <family val="2"/>
    </font>
    <font>
      <b/>
      <sz val="14"/>
      <color indexed="8"/>
      <name val="Times New Roman"/>
      <family val="1"/>
    </font>
    <font>
      <b/>
      <sz val="12"/>
      <name val="Times New Roman"/>
      <family val="1"/>
    </font>
    <font>
      <sz val="11"/>
      <name val="Times New Roman"/>
      <family val="1"/>
    </font>
    <font>
      <sz val="13"/>
      <name val="Times New Roman"/>
      <family val="1"/>
    </font>
    <font>
      <i/>
      <sz val="13"/>
      <name val="Times New Roman"/>
      <family val="1"/>
    </font>
    <font>
      <sz val="12"/>
      <name val="Calibri"/>
      <family val="2"/>
    </font>
    <font>
      <sz val="12"/>
      <color indexed="8"/>
      <name val="Calibri"/>
      <family val="2"/>
    </font>
    <font>
      <b/>
      <i/>
      <sz val="14"/>
      <name val="Times New Roman"/>
      <family val="1"/>
    </font>
    <font>
      <sz val="12"/>
      <name val="Times New Roman"/>
      <family val="1"/>
    </font>
    <font>
      <i/>
      <sz val="14"/>
      <name val="Times New Roman"/>
      <family val="1"/>
    </font>
    <font>
      <sz val="11"/>
      <color indexed="8"/>
      <name val="Times New Roman"/>
      <family val="1"/>
    </font>
    <font>
      <sz val="10"/>
      <color indexed="8"/>
      <name val="Times New Roman"/>
      <family val="1"/>
    </font>
    <font>
      <b/>
      <i/>
      <sz val="12"/>
      <name val="Times New Roman"/>
      <family val="1"/>
    </font>
    <font>
      <b/>
      <sz val="9"/>
      <name val="Times New Roman"/>
      <family val="1"/>
    </font>
    <font>
      <b/>
      <sz val="10"/>
      <color indexed="8"/>
      <name val="Times New Roman"/>
      <family val="1"/>
    </font>
    <font>
      <b/>
      <sz val="9"/>
      <color indexed="8"/>
      <name val="Times New Roman"/>
      <family val="1"/>
    </font>
    <font>
      <sz val="9"/>
      <color indexed="8"/>
      <name val="Times New Roman"/>
      <family val="1"/>
    </font>
    <font>
      <sz val="14"/>
      <color indexed="8"/>
      <name val="Calibri"/>
      <family val="2"/>
    </font>
    <font>
      <b/>
      <sz val="14"/>
      <color indexed="10"/>
      <name val="Times New Roman"/>
      <family val="1"/>
    </font>
    <font>
      <i/>
      <sz val="14"/>
      <color indexed="8"/>
      <name val="Times New Roman"/>
      <family val="1"/>
    </font>
    <font>
      <sz val="14"/>
      <color indexed="9"/>
      <name val="Times New Roman"/>
      <family val="2"/>
    </font>
    <font>
      <sz val="11"/>
      <color indexed="9"/>
      <name val="Calibri"/>
      <family val="2"/>
    </font>
    <font>
      <sz val="14"/>
      <color indexed="20"/>
      <name val="Times New Roman"/>
      <family val="2"/>
    </font>
    <font>
      <sz val="11"/>
      <color indexed="20"/>
      <name val="Calibri"/>
      <family val="2"/>
    </font>
    <font>
      <b/>
      <sz val="14"/>
      <color indexed="52"/>
      <name val="Times New Roman"/>
      <family val="2"/>
    </font>
    <font>
      <b/>
      <sz val="11"/>
      <color indexed="52"/>
      <name val="Calibri"/>
      <family val="2"/>
    </font>
    <font>
      <b/>
      <sz val="14"/>
      <color indexed="9"/>
      <name val="Times New Roman"/>
      <family val="2"/>
    </font>
    <font>
      <b/>
      <sz val="11"/>
      <color indexed="9"/>
      <name val="Calibri"/>
      <family val="2"/>
    </font>
    <font>
      <i/>
      <sz val="14"/>
      <color indexed="23"/>
      <name val="Times New Roman"/>
      <family val="2"/>
    </font>
    <font>
      <i/>
      <sz val="11"/>
      <color indexed="23"/>
      <name val="Calibri"/>
      <family val="2"/>
    </font>
    <font>
      <u val="single"/>
      <sz val="14"/>
      <color indexed="20"/>
      <name val="Times New Roman"/>
      <family val="2"/>
    </font>
    <font>
      <sz val="14"/>
      <color indexed="17"/>
      <name val="Times New Roman"/>
      <family val="2"/>
    </font>
    <font>
      <sz val="11"/>
      <color indexed="17"/>
      <name val="Calibri"/>
      <family val="2"/>
    </font>
    <font>
      <b/>
      <sz val="15"/>
      <color indexed="56"/>
      <name val="Times New Roman"/>
      <family val="2"/>
    </font>
    <font>
      <b/>
      <sz val="15"/>
      <color indexed="56"/>
      <name val="Calibri"/>
      <family val="2"/>
    </font>
    <font>
      <b/>
      <sz val="13"/>
      <color indexed="56"/>
      <name val="Times New Roman"/>
      <family val="2"/>
    </font>
    <font>
      <b/>
      <sz val="13"/>
      <color indexed="56"/>
      <name val="Calibri"/>
      <family val="2"/>
    </font>
    <font>
      <b/>
      <sz val="11"/>
      <color indexed="56"/>
      <name val="Times New Roman"/>
      <family val="2"/>
    </font>
    <font>
      <b/>
      <sz val="11"/>
      <color indexed="56"/>
      <name val="Calibri"/>
      <family val="2"/>
    </font>
    <font>
      <u val="single"/>
      <sz val="14"/>
      <color indexed="12"/>
      <name val="Times New Roman"/>
      <family val="2"/>
    </font>
    <font>
      <sz val="14"/>
      <color indexed="62"/>
      <name val="Times New Roman"/>
      <family val="2"/>
    </font>
    <font>
      <sz val="11"/>
      <color indexed="62"/>
      <name val="Calibri"/>
      <family val="2"/>
    </font>
    <font>
      <sz val="14"/>
      <color indexed="52"/>
      <name val="Times New Roman"/>
      <family val="2"/>
    </font>
    <font>
      <sz val="11"/>
      <color indexed="52"/>
      <name val="Calibri"/>
      <family val="2"/>
    </font>
    <font>
      <sz val="14"/>
      <color indexed="60"/>
      <name val="Times New Roman"/>
      <family val="2"/>
    </font>
    <font>
      <sz val="11"/>
      <color indexed="60"/>
      <name val="Calibri"/>
      <family val="2"/>
    </font>
    <font>
      <b/>
      <sz val="14"/>
      <color indexed="63"/>
      <name val="Times New Roman"/>
      <family val="2"/>
    </font>
    <font>
      <b/>
      <sz val="11"/>
      <color indexed="63"/>
      <name val="Calibri"/>
      <family val="2"/>
    </font>
    <font>
      <b/>
      <sz val="18"/>
      <color indexed="56"/>
      <name val="Cambria"/>
      <family val="2"/>
    </font>
    <font>
      <b/>
      <sz val="11"/>
      <color indexed="8"/>
      <name val="Calibri"/>
      <family val="2"/>
    </font>
    <font>
      <sz val="14"/>
      <color indexed="10"/>
      <name val="Times New Roman"/>
      <family val="2"/>
    </font>
    <font>
      <sz val="11"/>
      <color indexed="10"/>
      <name val="Calibri"/>
      <family val="2"/>
    </font>
    <font>
      <b/>
      <sz val="14"/>
      <color indexed="56"/>
      <name val="Times New Roman"/>
      <family val="1"/>
    </font>
    <font>
      <sz val="13"/>
      <color indexed="56"/>
      <name val="Times New Roman"/>
      <family val="1"/>
    </font>
    <font>
      <sz val="14"/>
      <color indexed="56"/>
      <name val="Times New Roman"/>
      <family val="1"/>
    </font>
    <font>
      <sz val="13"/>
      <color indexed="17"/>
      <name val="Times New Roman"/>
      <family val="1"/>
    </font>
    <font>
      <sz val="14"/>
      <color indexed="17"/>
      <name val="Calibri"/>
      <family val="2"/>
    </font>
    <font>
      <sz val="12"/>
      <color indexed="8"/>
      <name val="Times New Roman"/>
      <family val="1"/>
    </font>
    <font>
      <sz val="11"/>
      <color theme="1"/>
      <name val="Calibri"/>
      <family val="2"/>
    </font>
    <font>
      <sz val="14"/>
      <color theme="0"/>
      <name val="Times New Roman"/>
      <family val="2"/>
    </font>
    <font>
      <sz val="11"/>
      <color theme="0"/>
      <name val="Calibri"/>
      <family val="2"/>
    </font>
    <font>
      <sz val="14"/>
      <color rgb="FF9C0006"/>
      <name val="Times New Roman"/>
      <family val="2"/>
    </font>
    <font>
      <sz val="11"/>
      <color rgb="FF9C0006"/>
      <name val="Calibri"/>
      <family val="2"/>
    </font>
    <font>
      <b/>
      <sz val="14"/>
      <color rgb="FFFA7D00"/>
      <name val="Times New Roman"/>
      <family val="2"/>
    </font>
    <font>
      <b/>
      <sz val="11"/>
      <color rgb="FFFA7D00"/>
      <name val="Calibri"/>
      <family val="2"/>
    </font>
    <font>
      <b/>
      <sz val="14"/>
      <color theme="0"/>
      <name val="Times New Roman"/>
      <family val="2"/>
    </font>
    <font>
      <b/>
      <sz val="11"/>
      <color theme="0"/>
      <name val="Calibri"/>
      <family val="2"/>
    </font>
    <font>
      <i/>
      <sz val="14"/>
      <color rgb="FF7F7F7F"/>
      <name val="Times New Roman"/>
      <family val="2"/>
    </font>
    <font>
      <i/>
      <sz val="11"/>
      <color rgb="FF7F7F7F"/>
      <name val="Calibri"/>
      <family val="2"/>
    </font>
    <font>
      <u val="single"/>
      <sz val="14"/>
      <color theme="11"/>
      <name val="Times New Roman"/>
      <family val="2"/>
    </font>
    <font>
      <sz val="14"/>
      <color rgb="FF006100"/>
      <name val="Times New Roman"/>
      <family val="2"/>
    </font>
    <font>
      <sz val="11"/>
      <color rgb="FF006100"/>
      <name val="Calibri"/>
      <family val="2"/>
    </font>
    <font>
      <b/>
      <sz val="15"/>
      <color theme="3"/>
      <name val="Times New Roman"/>
      <family val="2"/>
    </font>
    <font>
      <b/>
      <sz val="15"/>
      <color theme="3"/>
      <name val="Calibri"/>
      <family val="2"/>
    </font>
    <font>
      <b/>
      <sz val="13"/>
      <color theme="3"/>
      <name val="Times New Roman"/>
      <family val="2"/>
    </font>
    <font>
      <b/>
      <sz val="13"/>
      <color theme="3"/>
      <name val="Calibri"/>
      <family val="2"/>
    </font>
    <font>
      <b/>
      <sz val="11"/>
      <color theme="3"/>
      <name val="Times New Roman"/>
      <family val="2"/>
    </font>
    <font>
      <b/>
      <sz val="11"/>
      <color theme="3"/>
      <name val="Calibri"/>
      <family val="2"/>
    </font>
    <font>
      <u val="single"/>
      <sz val="14"/>
      <color theme="10"/>
      <name val="Times New Roman"/>
      <family val="2"/>
    </font>
    <font>
      <sz val="14"/>
      <color rgb="FF3F3F76"/>
      <name val="Times New Roman"/>
      <family val="2"/>
    </font>
    <font>
      <sz val="11"/>
      <color rgb="FF3F3F76"/>
      <name val="Calibri"/>
      <family val="2"/>
    </font>
    <font>
      <sz val="14"/>
      <color rgb="FFFA7D00"/>
      <name val="Times New Roman"/>
      <family val="2"/>
    </font>
    <font>
      <sz val="11"/>
      <color rgb="FFFA7D00"/>
      <name val="Calibri"/>
      <family val="2"/>
    </font>
    <font>
      <sz val="14"/>
      <color rgb="FF9C6500"/>
      <name val="Times New Roman"/>
      <family val="2"/>
    </font>
    <font>
      <sz val="11"/>
      <color rgb="FF9C6500"/>
      <name val="Calibri"/>
      <family val="2"/>
    </font>
    <font>
      <b/>
      <sz val="14"/>
      <color rgb="FF3F3F3F"/>
      <name val="Times New Roman"/>
      <family val="2"/>
    </font>
    <font>
      <b/>
      <sz val="11"/>
      <color rgb="FF3F3F3F"/>
      <name val="Calibri"/>
      <family val="2"/>
    </font>
    <font>
      <b/>
      <sz val="18"/>
      <color theme="3"/>
      <name val="Cambria"/>
      <family val="2"/>
    </font>
    <font>
      <b/>
      <sz val="14"/>
      <color theme="1"/>
      <name val="Times New Roman"/>
      <family val="2"/>
    </font>
    <font>
      <b/>
      <sz val="11"/>
      <color theme="1"/>
      <name val="Calibri"/>
      <family val="2"/>
    </font>
    <font>
      <sz val="14"/>
      <color rgb="FFFF0000"/>
      <name val="Times New Roman"/>
      <family val="2"/>
    </font>
    <font>
      <sz val="11"/>
      <color rgb="FFFF0000"/>
      <name val="Calibri"/>
      <family val="2"/>
    </font>
    <font>
      <b/>
      <sz val="13"/>
      <color theme="1"/>
      <name val="Times New Roman"/>
      <family val="1"/>
    </font>
    <font>
      <sz val="14"/>
      <color theme="1"/>
      <name val="Calibri"/>
      <family val="2"/>
    </font>
    <font>
      <i/>
      <sz val="13"/>
      <color theme="1"/>
      <name val="Times New Roman"/>
      <family val="1"/>
    </font>
    <font>
      <b/>
      <sz val="11"/>
      <color theme="1"/>
      <name val="Times New Roman"/>
      <family val="1"/>
    </font>
    <font>
      <sz val="11"/>
      <color theme="1"/>
      <name val="Times New Roman"/>
      <family val="1"/>
    </font>
    <font>
      <b/>
      <sz val="14"/>
      <color theme="5"/>
      <name val="Times New Roman"/>
      <family val="1"/>
    </font>
    <font>
      <b/>
      <sz val="14"/>
      <color theme="3"/>
      <name val="Times New Roman"/>
      <family val="1"/>
    </font>
    <font>
      <sz val="13"/>
      <color theme="3"/>
      <name val="Times New Roman"/>
      <family val="1"/>
    </font>
    <font>
      <sz val="14"/>
      <color theme="3"/>
      <name val="Times New Roman"/>
      <family val="1"/>
    </font>
    <font>
      <sz val="14"/>
      <color theme="5"/>
      <name val="Times New Roman"/>
      <family val="1"/>
    </font>
    <font>
      <sz val="12"/>
      <color theme="1"/>
      <name val="Calibri"/>
      <family val="2"/>
    </font>
    <font>
      <sz val="13"/>
      <color rgb="FF00B050"/>
      <name val="Times New Roman"/>
      <family val="1"/>
    </font>
    <font>
      <sz val="14"/>
      <color rgb="FF00B050"/>
      <name val="Calibri"/>
      <family val="2"/>
    </font>
    <font>
      <sz val="14"/>
      <color rgb="FF00B050"/>
      <name val="Times New Roman"/>
      <family val="1"/>
    </font>
    <font>
      <sz val="13"/>
      <color theme="1"/>
      <name val="Times New Roman"/>
      <family val="1"/>
    </font>
    <font>
      <sz val="10"/>
      <color theme="1"/>
      <name val="Times New Roman"/>
      <family val="1"/>
    </font>
    <font>
      <sz val="12"/>
      <color theme="1"/>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hair"/>
      <bottom>
        <color indexed="63"/>
      </bottom>
    </border>
    <border>
      <left>
        <color indexed="63"/>
      </left>
      <right style="thin"/>
      <top style="thin"/>
      <bottom style="thin"/>
    </border>
    <border>
      <left style="thin"/>
      <right>
        <color indexed="63"/>
      </right>
      <top style="thin"/>
      <bottom style="thin"/>
    </border>
    <border>
      <left style="thin"/>
      <right style="thin"/>
      <top style="dotted"/>
      <bottom style="dotted"/>
    </border>
    <border>
      <left style="thin"/>
      <right style="thin"/>
      <top/>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75" fillId="2" borderId="0" applyNumberFormat="0" applyBorder="0" applyAlignment="0" applyProtection="0"/>
    <xf numFmtId="0" fontId="0" fillId="3" borderId="0" applyNumberFormat="0" applyBorder="0" applyAlignment="0" applyProtection="0"/>
    <xf numFmtId="0" fontId="75" fillId="3" borderId="0" applyNumberFormat="0" applyBorder="0" applyAlignment="0" applyProtection="0"/>
    <xf numFmtId="0" fontId="0" fillId="4" borderId="0" applyNumberFormat="0" applyBorder="0" applyAlignment="0" applyProtection="0"/>
    <xf numFmtId="0" fontId="75" fillId="4" borderId="0" applyNumberFormat="0" applyBorder="0" applyAlignment="0" applyProtection="0"/>
    <xf numFmtId="0" fontId="0" fillId="5" borderId="0" applyNumberFormat="0" applyBorder="0" applyAlignment="0" applyProtection="0"/>
    <xf numFmtId="0" fontId="75" fillId="5" borderId="0" applyNumberFormat="0" applyBorder="0" applyAlignment="0" applyProtection="0"/>
    <xf numFmtId="0" fontId="0" fillId="6" borderId="0" applyNumberFormat="0" applyBorder="0" applyAlignment="0" applyProtection="0"/>
    <xf numFmtId="0" fontId="75" fillId="6" borderId="0" applyNumberFormat="0" applyBorder="0" applyAlignment="0" applyProtection="0"/>
    <xf numFmtId="0" fontId="0" fillId="7" borderId="0" applyNumberFormat="0" applyBorder="0" applyAlignment="0" applyProtection="0"/>
    <xf numFmtId="0" fontId="75" fillId="7" borderId="0" applyNumberFormat="0" applyBorder="0" applyAlignment="0" applyProtection="0"/>
    <xf numFmtId="0" fontId="0" fillId="8" borderId="0" applyNumberFormat="0" applyBorder="0" applyAlignment="0" applyProtection="0"/>
    <xf numFmtId="0" fontId="75" fillId="8" borderId="0" applyNumberFormat="0" applyBorder="0" applyAlignment="0" applyProtection="0"/>
    <xf numFmtId="0" fontId="0" fillId="9" borderId="0" applyNumberFormat="0" applyBorder="0" applyAlignment="0" applyProtection="0"/>
    <xf numFmtId="0" fontId="75" fillId="9" borderId="0" applyNumberFormat="0" applyBorder="0" applyAlignment="0" applyProtection="0"/>
    <xf numFmtId="0" fontId="0" fillId="10" borderId="0" applyNumberFormat="0" applyBorder="0" applyAlignment="0" applyProtection="0"/>
    <xf numFmtId="0" fontId="75" fillId="10" borderId="0" applyNumberFormat="0" applyBorder="0" applyAlignment="0" applyProtection="0"/>
    <xf numFmtId="0" fontId="0" fillId="11" borderId="0" applyNumberFormat="0" applyBorder="0" applyAlignment="0" applyProtection="0"/>
    <xf numFmtId="0" fontId="75" fillId="11" borderId="0" applyNumberFormat="0" applyBorder="0" applyAlignment="0" applyProtection="0"/>
    <xf numFmtId="0" fontId="0" fillId="12" borderId="0" applyNumberFormat="0" applyBorder="0" applyAlignment="0" applyProtection="0"/>
    <xf numFmtId="0" fontId="75" fillId="12" borderId="0" applyNumberFormat="0" applyBorder="0" applyAlignment="0" applyProtection="0"/>
    <xf numFmtId="0" fontId="0" fillId="13"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7" fillId="14" borderId="0" applyNumberFormat="0" applyBorder="0" applyAlignment="0" applyProtection="0"/>
    <xf numFmtId="0" fontId="76" fillId="15" borderId="0" applyNumberFormat="0" applyBorder="0" applyAlignment="0" applyProtection="0"/>
    <xf numFmtId="0" fontId="77" fillId="15" borderId="0" applyNumberFormat="0" applyBorder="0" applyAlignment="0" applyProtection="0"/>
    <xf numFmtId="0" fontId="76" fillId="16" borderId="0" applyNumberFormat="0" applyBorder="0" applyAlignment="0" applyProtection="0"/>
    <xf numFmtId="0" fontId="77" fillId="16" borderId="0" applyNumberFormat="0" applyBorder="0" applyAlignment="0" applyProtection="0"/>
    <xf numFmtId="0" fontId="76" fillId="17" borderId="0" applyNumberFormat="0" applyBorder="0" applyAlignment="0" applyProtection="0"/>
    <xf numFmtId="0" fontId="77" fillId="17" borderId="0" applyNumberFormat="0" applyBorder="0" applyAlignment="0" applyProtection="0"/>
    <xf numFmtId="0" fontId="76" fillId="18" borderId="0" applyNumberFormat="0" applyBorder="0" applyAlignment="0" applyProtection="0"/>
    <xf numFmtId="0" fontId="77" fillId="18" borderId="0" applyNumberFormat="0" applyBorder="0" applyAlignment="0" applyProtection="0"/>
    <xf numFmtId="0" fontId="76" fillId="19" borderId="0" applyNumberFormat="0" applyBorder="0" applyAlignment="0" applyProtection="0"/>
    <xf numFmtId="0" fontId="77" fillId="19" borderId="0" applyNumberFormat="0" applyBorder="0" applyAlignment="0" applyProtection="0"/>
    <xf numFmtId="0" fontId="76" fillId="20" borderId="0" applyNumberFormat="0" applyBorder="0" applyAlignment="0" applyProtection="0"/>
    <xf numFmtId="0" fontId="77" fillId="20" borderId="0" applyNumberFormat="0" applyBorder="0" applyAlignment="0" applyProtection="0"/>
    <xf numFmtId="0" fontId="76" fillId="21" borderId="0" applyNumberFormat="0" applyBorder="0" applyAlignment="0" applyProtection="0"/>
    <xf numFmtId="0" fontId="77" fillId="21" borderId="0" applyNumberFormat="0" applyBorder="0" applyAlignment="0" applyProtection="0"/>
    <xf numFmtId="0" fontId="76" fillId="22" borderId="0" applyNumberFormat="0" applyBorder="0" applyAlignment="0" applyProtection="0"/>
    <xf numFmtId="0" fontId="77" fillId="22" borderId="0" applyNumberFormat="0" applyBorder="0" applyAlignment="0" applyProtection="0"/>
    <xf numFmtId="0" fontId="76" fillId="23" borderId="0" applyNumberFormat="0" applyBorder="0" applyAlignment="0" applyProtection="0"/>
    <xf numFmtId="0" fontId="77" fillId="23" borderId="0" applyNumberFormat="0" applyBorder="0" applyAlignment="0" applyProtection="0"/>
    <xf numFmtId="0" fontId="76" fillId="24" borderId="0" applyNumberFormat="0" applyBorder="0" applyAlignment="0" applyProtection="0"/>
    <xf numFmtId="0" fontId="77" fillId="24" borderId="0" applyNumberFormat="0" applyBorder="0" applyAlignment="0" applyProtection="0"/>
    <xf numFmtId="0" fontId="76" fillId="25"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4" fillId="0" borderId="0" applyFont="0" applyFill="0" applyBorder="0" applyAlignment="0" applyProtection="0"/>
    <xf numFmtId="201" fontId="4" fillId="0" borderId="0" applyFont="0" applyFill="0" applyBorder="0" applyAlignment="0" applyProtection="0"/>
    <xf numFmtId="171" fontId="16" fillId="0" borderId="0" applyFont="0" applyFill="0" applyBorder="0" applyAlignment="0" applyProtection="0"/>
    <xf numFmtId="176" fontId="4" fillId="0" borderId="0" applyFont="0" applyFill="0" applyBorder="0" applyAlignment="0" applyProtection="0"/>
    <xf numFmtId="190" fontId="4"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28" borderId="2" applyNumberFormat="0" applyAlignment="0" applyProtection="0"/>
    <xf numFmtId="0" fontId="83" fillId="28" borderId="2"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3" applyNumberFormat="0" applyFill="0" applyAlignment="0" applyProtection="0"/>
    <xf numFmtId="0" fontId="91" fillId="0" borderId="4"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4"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30" borderId="1" applyNumberFormat="0" applyAlignment="0" applyProtection="0"/>
    <xf numFmtId="0" fontId="98" fillId="0" borderId="6" applyNumberFormat="0" applyFill="0" applyAlignment="0" applyProtection="0"/>
    <xf numFmtId="0" fontId="99" fillId="0" borderId="6" applyNumberFormat="0" applyFill="0" applyAlignment="0" applyProtection="0"/>
    <xf numFmtId="0" fontId="100" fillId="31" borderId="0" applyNumberFormat="0" applyBorder="0" applyAlignment="0" applyProtection="0"/>
    <xf numFmtId="0" fontId="101" fillId="31"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75" fillId="0" borderId="0">
      <alignment/>
      <protection/>
    </xf>
    <xf numFmtId="0" fontId="25" fillId="0" borderId="0">
      <alignment/>
      <protection/>
    </xf>
    <xf numFmtId="0" fontId="0" fillId="32" borderId="7" applyNumberFormat="0" applyFont="0" applyAlignment="0" applyProtection="0"/>
    <xf numFmtId="0" fontId="75" fillId="32" borderId="7" applyNumberFormat="0" applyFont="0" applyAlignment="0" applyProtection="0"/>
    <xf numFmtId="0" fontId="102" fillId="27" borderId="8" applyNumberFormat="0" applyAlignment="0" applyProtection="0"/>
    <xf numFmtId="0" fontId="103"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9"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cellStyleXfs>
  <cellXfs count="438">
    <xf numFmtId="0" fontId="0" fillId="0" borderId="0" xfId="0" applyAlignment="1">
      <alignmen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175" fontId="0" fillId="0" borderId="0" xfId="67" applyNumberFormat="1" applyFont="1" applyAlignment="1">
      <alignment vertical="center"/>
    </xf>
    <xf numFmtId="3" fontId="10" fillId="33" borderId="12" xfId="0" applyNumberFormat="1" applyFont="1" applyFill="1" applyBorder="1" applyAlignment="1">
      <alignment horizontal="center" vertical="center"/>
    </xf>
    <xf numFmtId="0" fontId="109" fillId="33" borderId="0" xfId="0" applyFont="1" applyFill="1" applyAlignment="1">
      <alignment vertical="center"/>
    </xf>
    <xf numFmtId="0" fontId="110" fillId="33" borderId="0" xfId="0" applyFont="1" applyFill="1" applyAlignment="1">
      <alignment horizontal="center" vertical="center"/>
    </xf>
    <xf numFmtId="4" fontId="110" fillId="33" borderId="0" xfId="0" applyNumberFormat="1" applyFont="1" applyFill="1" applyAlignment="1">
      <alignment horizontal="center" vertical="center"/>
    </xf>
    <xf numFmtId="49" fontId="110" fillId="33" borderId="0" xfId="0" applyNumberFormat="1" applyFont="1" applyFill="1" applyAlignment="1">
      <alignment horizontal="center" vertical="center"/>
    </xf>
    <xf numFmtId="0" fontId="110" fillId="33" borderId="0" xfId="0" applyFont="1" applyFill="1" applyAlignment="1">
      <alignment vertical="center"/>
    </xf>
    <xf numFmtId="0" fontId="12" fillId="33" borderId="0" xfId="0" applyFont="1" applyFill="1" applyBorder="1" applyAlignment="1">
      <alignment horizontal="center" vertical="center"/>
    </xf>
    <xf numFmtId="0" fontId="12" fillId="33" borderId="0" xfId="0" applyFont="1" applyFill="1" applyBorder="1" applyAlignment="1">
      <alignment horizontal="right" vertical="center"/>
    </xf>
    <xf numFmtId="0" fontId="12"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110" fillId="33" borderId="0" xfId="0" applyFont="1" applyFill="1" applyBorder="1" applyAlignment="1">
      <alignment vertical="center"/>
    </xf>
    <xf numFmtId="4" fontId="0" fillId="33"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vertical="center"/>
    </xf>
    <xf numFmtId="0" fontId="0" fillId="33" borderId="0" xfId="0" applyFont="1" applyFill="1" applyBorder="1" applyAlignment="1">
      <alignment horizontal="center" vertical="center"/>
    </xf>
    <xf numFmtId="4" fontId="0" fillId="33" borderId="10" xfId="0" applyNumberFormat="1" applyFont="1" applyFill="1" applyBorder="1" applyAlignment="1" quotePrefix="1">
      <alignment horizontal="center" vertical="center"/>
    </xf>
    <xf numFmtId="175" fontId="110" fillId="33" borderId="0" xfId="67" applyNumberFormat="1" applyFont="1" applyFill="1" applyBorder="1" applyAlignment="1">
      <alignment vertical="center"/>
    </xf>
    <xf numFmtId="175" fontId="110" fillId="33" borderId="0" xfId="0" applyNumberFormat="1" applyFont="1" applyFill="1" applyBorder="1" applyAlignment="1">
      <alignment vertical="center"/>
    </xf>
    <xf numFmtId="0" fontId="0" fillId="33" borderId="1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175" fontId="0" fillId="33" borderId="0" xfId="0" applyNumberFormat="1" applyFont="1" applyFill="1" applyBorder="1" applyAlignment="1">
      <alignment vertical="center"/>
    </xf>
    <xf numFmtId="0" fontId="105" fillId="33" borderId="0" xfId="0" applyFont="1" applyFill="1" applyAlignment="1">
      <alignment horizontal="center" vertical="center"/>
    </xf>
    <xf numFmtId="3" fontId="105" fillId="33" borderId="0" xfId="0" applyNumberFormat="1" applyFont="1" applyFill="1" applyAlignment="1">
      <alignment horizontal="center" vertical="center"/>
    </xf>
    <xf numFmtId="49" fontId="105" fillId="33" borderId="0" xfId="0" applyNumberFormat="1" applyFont="1" applyFill="1" applyAlignment="1">
      <alignment horizontal="center" vertical="center"/>
    </xf>
    <xf numFmtId="0" fontId="0" fillId="33" borderId="0" xfId="0" applyFont="1" applyFill="1" applyAlignment="1">
      <alignment horizontal="center" vertical="center"/>
    </xf>
    <xf numFmtId="3" fontId="0" fillId="33" borderId="0"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0" fontId="105" fillId="33" borderId="10" xfId="0" applyFont="1" applyFill="1" applyBorder="1" applyAlignment="1">
      <alignment horizontal="center" vertical="center"/>
    </xf>
    <xf numFmtId="3" fontId="105" fillId="33" borderId="10" xfId="0" applyNumberFormat="1" applyFont="1" applyFill="1" applyBorder="1" applyAlignment="1">
      <alignment horizontal="center" vertical="center"/>
    </xf>
    <xf numFmtId="49" fontId="105" fillId="33" borderId="0" xfId="0" applyNumberFormat="1" applyFont="1" applyFill="1" applyBorder="1" applyAlignment="1">
      <alignment horizontal="center" vertical="center"/>
    </xf>
    <xf numFmtId="3" fontId="105" fillId="33" borderId="0"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0" fillId="33" borderId="0" xfId="0" applyNumberFormat="1" applyFont="1" applyFill="1" applyAlignment="1">
      <alignment horizontal="center" vertical="center"/>
    </xf>
    <xf numFmtId="49" fontId="0" fillId="33" borderId="0" xfId="0" applyNumberFormat="1" applyFont="1" applyFill="1" applyAlignment="1">
      <alignment horizontal="center" vertical="center"/>
    </xf>
    <xf numFmtId="0" fontId="105" fillId="33" borderId="0" xfId="0" applyFont="1" applyFill="1" applyBorder="1" applyAlignment="1">
      <alignment horizontal="center" vertical="center"/>
    </xf>
    <xf numFmtId="49" fontId="12" fillId="33" borderId="13" xfId="0" applyNumberFormat="1" applyFont="1" applyFill="1" applyBorder="1" applyAlignment="1">
      <alignment horizontal="center" vertical="center" wrapText="1"/>
    </xf>
    <xf numFmtId="4" fontId="0" fillId="33" borderId="11"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0" fontId="11" fillId="0" borderId="10" xfId="0" applyFont="1" applyBorder="1" applyAlignment="1">
      <alignment vertical="center"/>
    </xf>
    <xf numFmtId="0" fontId="11" fillId="0" borderId="10" xfId="0" applyFont="1" applyBorder="1" applyAlignment="1">
      <alignment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175" fontId="111" fillId="0" borderId="10" xfId="67" applyNumberFormat="1" applyFont="1" applyBorder="1" applyAlignment="1">
      <alignment vertical="center"/>
    </xf>
    <xf numFmtId="0" fontId="10" fillId="0" borderId="10" xfId="0" applyFont="1" applyBorder="1" applyAlignment="1">
      <alignment horizontal="center" vertical="center"/>
    </xf>
    <xf numFmtId="3" fontId="11" fillId="0" borderId="10" xfId="0" applyNumberFormat="1" applyFont="1" applyBorder="1" applyAlignment="1">
      <alignment horizontal="center" vertical="center" wrapText="1"/>
    </xf>
    <xf numFmtId="0" fontId="8" fillId="0" borderId="10" xfId="0" applyFont="1" applyBorder="1" applyAlignment="1">
      <alignment horizontal="left" vertical="center"/>
    </xf>
    <xf numFmtId="3" fontId="8" fillId="0" borderId="10" xfId="0" applyNumberFormat="1" applyFont="1" applyBorder="1" applyAlignment="1">
      <alignment horizontal="right" vertical="center"/>
    </xf>
    <xf numFmtId="0" fontId="10" fillId="0" borderId="10" xfId="0" applyFont="1" applyBorder="1" applyAlignment="1">
      <alignment horizontal="left" vertical="center"/>
    </xf>
    <xf numFmtId="3" fontId="10" fillId="0" borderId="10" xfId="0" applyNumberFormat="1" applyFont="1" applyBorder="1" applyAlignment="1">
      <alignment horizontal="center" vertical="center"/>
    </xf>
    <xf numFmtId="0" fontId="10" fillId="0" borderId="10" xfId="0" applyFont="1" applyBorder="1" applyAlignment="1">
      <alignment horizontal="left" vertical="center" wrapText="1"/>
    </xf>
    <xf numFmtId="3" fontId="10" fillId="0" borderId="10" xfId="0" applyNumberFormat="1" applyFont="1" applyBorder="1" applyAlignment="1">
      <alignment vertical="center"/>
    </xf>
    <xf numFmtId="175" fontId="109" fillId="0" borderId="10" xfId="67" applyNumberFormat="1" applyFont="1" applyBorder="1" applyAlignment="1">
      <alignment vertical="center"/>
    </xf>
    <xf numFmtId="3" fontId="10" fillId="33" borderId="10" xfId="0" applyNumberFormat="1" applyFont="1" applyFill="1" applyBorder="1" applyAlignment="1">
      <alignment horizontal="center" vertical="center"/>
    </xf>
    <xf numFmtId="3" fontId="105"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49" fontId="2" fillId="0" borderId="0" xfId="0" applyNumberFormat="1" applyFont="1" applyAlignment="1">
      <alignment horizontal="left" vertical="center"/>
    </xf>
    <xf numFmtId="49" fontId="8"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0" fillId="0" borderId="0" xfId="0" applyNumberForma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12" fillId="0" borderId="10" xfId="0" applyFont="1" applyBorder="1" applyAlignment="1">
      <alignment horizontal="center" vertical="center" wrapText="1"/>
    </xf>
    <xf numFmtId="175" fontId="2" fillId="0" borderId="10" xfId="0" applyNumberFormat="1" applyFont="1" applyBorder="1" applyAlignment="1">
      <alignment vertical="center"/>
    </xf>
    <xf numFmtId="175" fontId="2" fillId="0" borderId="10" xfId="0" applyNumberFormat="1" applyFont="1" applyBorder="1" applyAlignment="1">
      <alignment horizontal="center" vertical="center"/>
    </xf>
    <xf numFmtId="175" fontId="113" fillId="0" borderId="11" xfId="67" applyNumberFormat="1" applyFont="1" applyBorder="1" applyAlignment="1">
      <alignment vertical="center"/>
    </xf>
    <xf numFmtId="175" fontId="113" fillId="0" borderId="11" xfId="67" applyNumberFormat="1" applyFont="1" applyBorder="1" applyAlignment="1">
      <alignment horizontal="center" vertical="center"/>
    </xf>
    <xf numFmtId="175" fontId="113" fillId="0" borderId="12" xfId="67" applyNumberFormat="1" applyFont="1" applyBorder="1" applyAlignment="1">
      <alignment horizontal="center" vertical="center"/>
    </xf>
    <xf numFmtId="175" fontId="19" fillId="0" borderId="14" xfId="0" applyNumberFormat="1" applyFont="1" applyBorder="1" applyAlignment="1">
      <alignment vertical="center"/>
    </xf>
    <xf numFmtId="175" fontId="113" fillId="0" borderId="14" xfId="67" applyNumberFormat="1" applyFont="1" applyBorder="1" applyAlignment="1">
      <alignment vertical="center"/>
    </xf>
    <xf numFmtId="175" fontId="19" fillId="0" borderId="0" xfId="0" applyNumberFormat="1" applyFont="1" applyAlignment="1">
      <alignment vertical="center"/>
    </xf>
    <xf numFmtId="175" fontId="113" fillId="0" borderId="15" xfId="67" applyNumberFormat="1" applyFont="1" applyBorder="1" applyAlignment="1">
      <alignment vertical="center"/>
    </xf>
    <xf numFmtId="175" fontId="113" fillId="0" borderId="15" xfId="67" applyNumberFormat="1" applyFont="1" applyBorder="1" applyAlignment="1">
      <alignment horizontal="center" vertical="center"/>
    </xf>
    <xf numFmtId="175" fontId="113" fillId="0" borderId="16" xfId="67" applyNumberFormat="1" applyFont="1" applyBorder="1" applyAlignment="1">
      <alignment vertical="center"/>
    </xf>
    <xf numFmtId="175" fontId="19" fillId="0" borderId="12" xfId="0" applyNumberFormat="1" applyFont="1" applyBorder="1" applyAlignment="1">
      <alignment vertical="center"/>
    </xf>
    <xf numFmtId="175" fontId="19" fillId="0" borderId="16" xfId="0" applyNumberFormat="1" applyFont="1" applyBorder="1" applyAlignment="1">
      <alignment vertical="center"/>
    </xf>
    <xf numFmtId="175" fontId="19" fillId="0" borderId="15" xfId="0" applyNumberFormat="1" applyFont="1" applyBorder="1" applyAlignment="1">
      <alignment vertical="center"/>
    </xf>
    <xf numFmtId="175" fontId="112" fillId="33" borderId="10" xfId="0" applyNumberFormat="1" applyFont="1" applyFill="1" applyBorder="1" applyAlignment="1">
      <alignment vertical="center"/>
    </xf>
    <xf numFmtId="0" fontId="0" fillId="33" borderId="10" xfId="0" applyFont="1" applyFill="1" applyBorder="1" applyAlignment="1">
      <alignment horizontal="left" vertical="center"/>
    </xf>
    <xf numFmtId="3" fontId="9" fillId="0" borderId="10" xfId="0" applyNumberFormat="1" applyFont="1" applyBorder="1" applyAlignment="1">
      <alignment horizontal="center" vertical="center"/>
    </xf>
    <xf numFmtId="3" fontId="9" fillId="33" borderId="10" xfId="0" applyNumberFormat="1" applyFont="1" applyFill="1" applyBorder="1" applyAlignment="1">
      <alignment horizontal="center" vertical="center"/>
    </xf>
    <xf numFmtId="3" fontId="20" fillId="0" borderId="10" xfId="0" applyNumberFormat="1" applyFont="1" applyBorder="1" applyAlignment="1">
      <alignment horizontal="center" vertical="center"/>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vertical="center"/>
    </xf>
    <xf numFmtId="0" fontId="9" fillId="33" borderId="10" xfId="0" applyFont="1" applyFill="1" applyBorder="1" applyAlignment="1">
      <alignment horizontal="center" vertical="center"/>
    </xf>
    <xf numFmtId="175" fontId="21" fillId="33" borderId="10" xfId="67" applyNumberFormat="1" applyFont="1" applyFill="1" applyBorder="1" applyAlignment="1">
      <alignment vertical="center"/>
    </xf>
    <xf numFmtId="0" fontId="11" fillId="33" borderId="0" xfId="0" applyFont="1" applyFill="1" applyAlignment="1">
      <alignment vertical="center"/>
    </xf>
    <xf numFmtId="3" fontId="114" fillId="0" borderId="10" xfId="0" applyNumberFormat="1" applyFont="1" applyBorder="1" applyAlignment="1">
      <alignment horizontal="center" vertical="center"/>
    </xf>
    <xf numFmtId="49" fontId="115" fillId="0" borderId="10" xfId="0" applyNumberFormat="1" applyFont="1" applyBorder="1" applyAlignment="1">
      <alignment horizontal="center" vertical="center" wrapText="1"/>
    </xf>
    <xf numFmtId="0" fontId="115" fillId="0" borderId="10" xfId="0" applyFont="1" applyBorder="1" applyAlignment="1">
      <alignment vertical="center"/>
    </xf>
    <xf numFmtId="0" fontId="116" fillId="0" borderId="10" xfId="0" applyFont="1" applyBorder="1" applyAlignment="1">
      <alignment horizontal="center" vertical="center"/>
    </xf>
    <xf numFmtId="3" fontId="115" fillId="0" borderId="10" xfId="0" applyNumberFormat="1" applyFont="1" applyBorder="1" applyAlignment="1">
      <alignment horizontal="center" vertical="center"/>
    </xf>
    <xf numFmtId="3" fontId="91" fillId="0" borderId="10" xfId="0" applyNumberFormat="1" applyFont="1" applyBorder="1" applyAlignment="1">
      <alignment horizontal="center" vertical="center"/>
    </xf>
    <xf numFmtId="0" fontId="91" fillId="0" borderId="17" xfId="0" applyFont="1" applyBorder="1" applyAlignment="1">
      <alignment vertical="center"/>
    </xf>
    <xf numFmtId="0" fontId="117" fillId="0" borderId="0" xfId="0" applyFont="1" applyAlignment="1">
      <alignment vertical="center"/>
    </xf>
    <xf numFmtId="49" fontId="117" fillId="0" borderId="10" xfId="0" applyNumberFormat="1" applyFont="1" applyBorder="1" applyAlignment="1">
      <alignment horizontal="center" vertical="center" wrapText="1"/>
    </xf>
    <xf numFmtId="0" fontId="117" fillId="0" borderId="10" xfId="0" applyFont="1" applyBorder="1" applyAlignment="1">
      <alignment vertical="center"/>
    </xf>
    <xf numFmtId="175" fontId="117" fillId="0" borderId="10" xfId="67" applyNumberFormat="1" applyFont="1" applyBorder="1" applyAlignment="1">
      <alignment vertical="center"/>
    </xf>
    <xf numFmtId="0" fontId="117" fillId="0" borderId="10" xfId="0" applyFont="1" applyBorder="1" applyAlignment="1">
      <alignment horizontal="center" vertical="center"/>
    </xf>
    <xf numFmtId="49" fontId="115" fillId="0" borderId="10" xfId="0" applyNumberFormat="1" applyFont="1" applyBorder="1" applyAlignment="1">
      <alignment horizontal="center" vertical="center"/>
    </xf>
    <xf numFmtId="10" fontId="117" fillId="0" borderId="10" xfId="0" applyNumberFormat="1" applyFont="1" applyBorder="1" applyAlignment="1">
      <alignment horizontal="center" vertical="center"/>
    </xf>
    <xf numFmtId="3" fontId="118" fillId="0" borderId="10" xfId="0" applyNumberFormat="1" applyFont="1" applyBorder="1" applyAlignment="1">
      <alignment horizontal="center" vertical="center" wrapText="1"/>
    </xf>
    <xf numFmtId="0" fontId="0" fillId="33" borderId="13" xfId="0" applyFont="1" applyFill="1" applyBorder="1" applyAlignment="1">
      <alignment horizontal="center" vertical="center"/>
    </xf>
    <xf numFmtId="4" fontId="12" fillId="33" borderId="17" xfId="0" applyNumberFormat="1" applyFont="1" applyFill="1" applyBorder="1" applyAlignment="1">
      <alignment horizontal="center" vertical="center" wrapText="1"/>
    </xf>
    <xf numFmtId="0" fontId="12" fillId="33" borderId="0" xfId="0" applyFont="1" applyFill="1" applyBorder="1" applyAlignment="1">
      <alignment horizontal="center" vertical="center"/>
    </xf>
    <xf numFmtId="0" fontId="105"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22" fillId="0" borderId="0" xfId="103" applyFont="1" applyAlignment="1">
      <alignment vertical="center" wrapText="1"/>
      <protection/>
    </xf>
    <xf numFmtId="0" fontId="22" fillId="0" borderId="0" xfId="103" applyFont="1" applyAlignment="1">
      <alignment horizontal="center" vertical="center" wrapText="1"/>
      <protection/>
    </xf>
    <xf numFmtId="0" fontId="22" fillId="0" borderId="0" xfId="103" applyFont="1" applyAlignment="1">
      <alignment vertical="center"/>
      <protection/>
    </xf>
    <xf numFmtId="0" fontId="22" fillId="0" borderId="0" xfId="103" applyFont="1" applyAlignment="1">
      <alignment horizontal="center" vertical="center"/>
      <protection/>
    </xf>
    <xf numFmtId="0" fontId="23" fillId="0" borderId="0" xfId="103" applyFont="1" applyAlignment="1">
      <alignment vertical="center"/>
      <protection/>
    </xf>
    <xf numFmtId="0" fontId="12" fillId="0" borderId="10" xfId="103" applyFont="1" applyBorder="1" applyAlignment="1">
      <alignment horizontal="center" vertical="center" wrapText="1"/>
      <protection/>
    </xf>
    <xf numFmtId="0" fontId="12" fillId="0" borderId="10" xfId="103" applyFont="1" applyBorder="1" applyAlignment="1">
      <alignment vertical="center" wrapText="1"/>
      <protection/>
    </xf>
    <xf numFmtId="0" fontId="12" fillId="0" borderId="18" xfId="103" applyFont="1" applyBorder="1" applyAlignment="1">
      <alignment vertical="center" wrapText="1"/>
      <protection/>
    </xf>
    <xf numFmtId="3" fontId="12" fillId="0" borderId="10" xfId="103" applyNumberFormat="1" applyFont="1" applyBorder="1" applyAlignment="1">
      <alignment horizontal="center" vertical="center" wrapText="1"/>
      <protection/>
    </xf>
    <xf numFmtId="0" fontId="11" fillId="0" borderId="10" xfId="103" applyFont="1" applyBorder="1" applyAlignment="1">
      <alignment horizontal="justify" vertical="center" wrapText="1"/>
      <protection/>
    </xf>
    <xf numFmtId="3" fontId="23" fillId="0" borderId="0" xfId="103" applyNumberFormat="1" applyFont="1" applyAlignment="1">
      <alignment vertical="center"/>
      <protection/>
    </xf>
    <xf numFmtId="0" fontId="11" fillId="0" borderId="10" xfId="103" applyFont="1" applyBorder="1" applyAlignment="1">
      <alignment horizontal="center" vertical="center" wrapText="1"/>
      <protection/>
    </xf>
    <xf numFmtId="0" fontId="11" fillId="0" borderId="18" xfId="103" applyFont="1" applyBorder="1" applyAlignment="1">
      <alignment vertical="center" wrapText="1"/>
      <protection/>
    </xf>
    <xf numFmtId="3" fontId="11" fillId="0" borderId="10" xfId="103" applyNumberFormat="1" applyFont="1" applyBorder="1" applyAlignment="1">
      <alignment horizontal="center" vertical="center" wrapText="1"/>
      <protection/>
    </xf>
    <xf numFmtId="0" fontId="11" fillId="0" borderId="10" xfId="103" applyFont="1" applyBorder="1" applyAlignment="1">
      <alignment vertical="center" wrapText="1"/>
      <protection/>
    </xf>
    <xf numFmtId="0" fontId="12" fillId="0" borderId="10" xfId="103" applyFont="1" applyBorder="1" applyAlignment="1">
      <alignment horizontal="center" vertical="center"/>
      <protection/>
    </xf>
    <xf numFmtId="0" fontId="12" fillId="0" borderId="10" xfId="103" applyFont="1" applyBorder="1" applyAlignment="1">
      <alignment vertical="center"/>
      <protection/>
    </xf>
    <xf numFmtId="0" fontId="11" fillId="0" borderId="10" xfId="103" applyFont="1" applyBorder="1" applyAlignment="1">
      <alignment horizontal="center" vertical="center"/>
      <protection/>
    </xf>
    <xf numFmtId="0" fontId="11" fillId="0" borderId="10" xfId="103" applyFont="1" applyBorder="1" applyAlignment="1">
      <alignment vertical="center"/>
      <protection/>
    </xf>
    <xf numFmtId="199" fontId="23" fillId="0" borderId="0" xfId="103" applyNumberFormat="1" applyFont="1" applyAlignment="1">
      <alignment vertical="center"/>
      <protection/>
    </xf>
    <xf numFmtId="0" fontId="24" fillId="0" borderId="10" xfId="103" applyFont="1" applyBorder="1" applyAlignment="1">
      <alignment horizontal="center" vertical="center" wrapText="1"/>
      <protection/>
    </xf>
    <xf numFmtId="0" fontId="24" fillId="0" borderId="10" xfId="103" applyFont="1" applyBorder="1" applyAlignment="1">
      <alignment vertical="center" wrapText="1"/>
      <protection/>
    </xf>
    <xf numFmtId="16" fontId="11" fillId="0" borderId="10" xfId="103" applyNumberFormat="1" applyFont="1" applyBorder="1" applyAlignment="1">
      <alignment horizontal="left" vertical="center" wrapText="1"/>
      <protection/>
    </xf>
    <xf numFmtId="200" fontId="24" fillId="0" borderId="10" xfId="71" applyNumberFormat="1" applyFont="1" applyBorder="1" applyAlignment="1">
      <alignment vertical="center" wrapText="1"/>
    </xf>
    <xf numFmtId="9" fontId="12" fillId="0" borderId="10" xfId="103" applyNumberFormat="1" applyFont="1" applyBorder="1" applyAlignment="1">
      <alignment horizontal="center" vertical="center"/>
      <protection/>
    </xf>
    <xf numFmtId="0" fontId="23" fillId="0" borderId="0" xfId="103" applyFont="1" applyAlignment="1">
      <alignment horizontal="center" vertical="center"/>
      <protection/>
    </xf>
    <xf numFmtId="0" fontId="17" fillId="0" borderId="0" xfId="103" applyFont="1" applyAlignment="1">
      <alignment vertical="center"/>
      <protection/>
    </xf>
    <xf numFmtId="169" fontId="20" fillId="0" borderId="19" xfId="69" applyFont="1" applyFill="1" applyBorder="1" applyAlignment="1">
      <alignment horizontal="center" vertical="center"/>
    </xf>
    <xf numFmtId="16" fontId="25" fillId="0" borderId="10" xfId="103" applyNumberFormat="1" applyFont="1" applyBorder="1" applyAlignment="1">
      <alignment horizontal="left" vertical="center" wrapText="1"/>
      <protection/>
    </xf>
    <xf numFmtId="3" fontId="11" fillId="33" borderId="10" xfId="103" applyNumberFormat="1" applyFont="1" applyFill="1" applyBorder="1" applyAlignment="1">
      <alignment horizontal="center" vertical="center" wrapText="1"/>
      <protection/>
    </xf>
    <xf numFmtId="49" fontId="105" fillId="0" borderId="10" xfId="0" applyNumberFormat="1" applyFont="1" applyBorder="1" applyAlignment="1">
      <alignment horizontal="center" vertical="center" wrapText="1"/>
    </xf>
    <xf numFmtId="0" fontId="105" fillId="0" borderId="10" xfId="0" applyFont="1" applyBorder="1" applyAlignment="1">
      <alignment vertical="center"/>
    </xf>
    <xf numFmtId="0" fontId="105" fillId="0" borderId="10" xfId="103" applyFont="1" applyBorder="1" applyAlignment="1">
      <alignment horizontal="center" vertical="center" wrapText="1"/>
      <protection/>
    </xf>
    <xf numFmtId="3" fontId="0" fillId="0" borderId="10" xfId="103" applyNumberFormat="1" applyFont="1" applyBorder="1" applyAlignment="1">
      <alignment horizontal="center" vertical="center" wrapText="1"/>
      <protection/>
    </xf>
    <xf numFmtId="0" fontId="119" fillId="0" borderId="0" xfId="103" applyFont="1" applyAlignment="1">
      <alignment vertical="center"/>
      <protection/>
    </xf>
    <xf numFmtId="49" fontId="0" fillId="0" borderId="10" xfId="0" applyNumberFormat="1" applyFont="1" applyBorder="1" applyAlignment="1">
      <alignment horizontal="center" vertical="center" wrapText="1"/>
    </xf>
    <xf numFmtId="0" fontId="0" fillId="0" borderId="10" xfId="0" applyFont="1" applyBorder="1" applyAlignment="1">
      <alignment vertical="center"/>
    </xf>
    <xf numFmtId="3" fontId="0" fillId="0" borderId="10" xfId="0" applyNumberFormat="1" applyFont="1" applyBorder="1" applyAlignment="1">
      <alignment horizontal="center" vertical="center" wrapText="1"/>
    </xf>
    <xf numFmtId="0" fontId="0" fillId="0" borderId="10" xfId="103" applyFont="1" applyBorder="1" applyAlignment="1">
      <alignment horizontal="center" vertical="center" wrapText="1"/>
      <protection/>
    </xf>
    <xf numFmtId="16" fontId="0" fillId="0" borderId="10" xfId="103" applyNumberFormat="1" applyFont="1" applyBorder="1" applyAlignment="1">
      <alignment horizontal="left" vertical="center" wrapText="1"/>
      <protection/>
    </xf>
    <xf numFmtId="0" fontId="0" fillId="34" borderId="0" xfId="0" applyFill="1" applyAlignment="1">
      <alignment vertical="center"/>
    </xf>
    <xf numFmtId="0" fontId="0" fillId="33" borderId="10" xfId="0" applyFont="1" applyFill="1" applyBorder="1" applyAlignment="1">
      <alignment horizontal="center" vertical="center"/>
    </xf>
    <xf numFmtId="3" fontId="120" fillId="33" borderId="12" xfId="0" applyNumberFormat="1" applyFont="1" applyFill="1" applyBorder="1" applyAlignment="1">
      <alignment horizontal="center" vertical="center"/>
    </xf>
    <xf numFmtId="0" fontId="121" fillId="33" borderId="0" xfId="0" applyFont="1" applyFill="1" applyAlignment="1">
      <alignment vertical="center"/>
    </xf>
    <xf numFmtId="0" fontId="121" fillId="33" borderId="0" xfId="0" applyFont="1" applyFill="1" applyBorder="1" applyAlignment="1">
      <alignment vertical="center"/>
    </xf>
    <xf numFmtId="175" fontId="121" fillId="33" borderId="0" xfId="0" applyNumberFormat="1" applyFont="1" applyFill="1" applyBorder="1" applyAlignment="1">
      <alignment vertical="center"/>
    </xf>
    <xf numFmtId="0" fontId="122" fillId="33" borderId="0" xfId="0" applyFont="1" applyFill="1" applyBorder="1" applyAlignment="1">
      <alignment horizontal="center" vertical="center"/>
    </xf>
    <xf numFmtId="175" fontId="121" fillId="33" borderId="0" xfId="67" applyNumberFormat="1" applyFont="1" applyFill="1" applyBorder="1" applyAlignment="1">
      <alignment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3" fontId="123" fillId="0" borderId="14" xfId="0" applyNumberFormat="1" applyFont="1" applyFill="1" applyBorder="1" applyAlignment="1">
      <alignment horizontal="left" vertical="center" wrapText="1"/>
    </xf>
    <xf numFmtId="0" fontId="20" fillId="0" borderId="14" xfId="0" applyFont="1" applyFill="1" applyBorder="1" applyAlignment="1">
      <alignment horizontal="left" vertical="center" wrapText="1"/>
    </xf>
    <xf numFmtId="3" fontId="20" fillId="0" borderId="14" xfId="0" applyNumberFormat="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101" applyFont="1" applyFill="1" applyBorder="1" applyAlignment="1">
      <alignment horizontal="left" vertical="center" wrapText="1"/>
      <protection/>
    </xf>
    <xf numFmtId="0" fontId="20" fillId="0" borderId="15" xfId="0" applyFont="1" applyFill="1" applyBorder="1" applyAlignment="1">
      <alignment horizontal="left" vertical="center" wrapText="1"/>
    </xf>
    <xf numFmtId="4" fontId="11" fillId="33" borderId="10" xfId="0" applyNumberFormat="1" applyFont="1" applyFill="1" applyBorder="1" applyAlignment="1">
      <alignment horizontal="center" vertical="center" wrapText="1"/>
    </xf>
    <xf numFmtId="0" fontId="20" fillId="0" borderId="12" xfId="0" applyFont="1" applyFill="1" applyBorder="1" applyAlignment="1">
      <alignment horizontal="left" vertical="center"/>
    </xf>
    <xf numFmtId="0" fontId="20" fillId="0" borderId="14" xfId="0" applyFont="1" applyFill="1" applyBorder="1" applyAlignment="1">
      <alignment horizontal="left" vertical="center"/>
    </xf>
    <xf numFmtId="175" fontId="20" fillId="0" borderId="12" xfId="71" applyNumberFormat="1" applyFont="1" applyFill="1" applyBorder="1" applyAlignment="1">
      <alignment vertical="center"/>
    </xf>
    <xf numFmtId="0" fontId="20" fillId="0" borderId="12" xfId="0" applyFont="1" applyFill="1" applyBorder="1" applyAlignment="1">
      <alignment vertical="center"/>
    </xf>
    <xf numFmtId="0" fontId="20" fillId="0" borderId="14" xfId="0" applyFont="1" applyBorder="1" applyAlignment="1">
      <alignment vertical="center"/>
    </xf>
    <xf numFmtId="0" fontId="123" fillId="0" borderId="14" xfId="0" applyFont="1" applyBorder="1" applyAlignment="1">
      <alignment/>
    </xf>
    <xf numFmtId="0" fontId="12" fillId="0" borderId="0" xfId="101" applyFont="1" applyAlignment="1">
      <alignment vertical="center"/>
      <protection/>
    </xf>
    <xf numFmtId="0" fontId="12" fillId="0" borderId="0" xfId="101" applyFont="1" applyBorder="1" applyAlignment="1">
      <alignment horizontal="center" vertical="center"/>
      <protection/>
    </xf>
    <xf numFmtId="0" fontId="11" fillId="0" borderId="0" xfId="101" applyFont="1" applyAlignment="1">
      <alignment vertical="center"/>
      <protection/>
    </xf>
    <xf numFmtId="175" fontId="11" fillId="33" borderId="0" xfId="73" applyNumberFormat="1" applyFont="1" applyFill="1" applyAlignment="1">
      <alignment vertical="center"/>
    </xf>
    <xf numFmtId="175" fontId="11" fillId="0" borderId="0" xfId="73" applyNumberFormat="1" applyFont="1" applyAlignment="1">
      <alignment vertical="center"/>
    </xf>
    <xf numFmtId="0" fontId="11" fillId="33" borderId="0" xfId="101" applyFont="1" applyFill="1" applyAlignment="1">
      <alignment vertical="center"/>
      <protection/>
    </xf>
    <xf numFmtId="3" fontId="12" fillId="0" borderId="10" xfId="101" applyNumberFormat="1" applyFont="1" applyBorder="1" applyAlignment="1">
      <alignment horizontal="center" vertical="center" wrapText="1"/>
      <protection/>
    </xf>
    <xf numFmtId="3" fontId="11" fillId="0" borderId="12" xfId="101" applyNumberFormat="1" applyFont="1" applyBorder="1" applyAlignment="1">
      <alignment horizontal="center" vertical="center"/>
      <protection/>
    </xf>
    <xf numFmtId="9" fontId="11" fillId="0" borderId="0" xfId="110" applyFont="1" applyAlignment="1">
      <alignment vertical="center"/>
    </xf>
    <xf numFmtId="0" fontId="12" fillId="33" borderId="0" xfId="101" applyFont="1" applyFill="1" applyAlignment="1">
      <alignment horizontal="center" vertical="center"/>
      <protection/>
    </xf>
    <xf numFmtId="0" fontId="12" fillId="0" borderId="0" xfId="101" applyFont="1" applyBorder="1" applyAlignment="1">
      <alignment vertical="center"/>
      <protection/>
    </xf>
    <xf numFmtId="3" fontId="12" fillId="0" borderId="0" xfId="101" applyNumberFormat="1" applyFont="1" applyBorder="1" applyAlignment="1">
      <alignment horizontal="center" vertical="center"/>
      <protection/>
    </xf>
    <xf numFmtId="0" fontId="26" fillId="0" borderId="0" xfId="101" applyFont="1" applyAlignment="1" quotePrefix="1">
      <alignment vertical="center"/>
      <protection/>
    </xf>
    <xf numFmtId="0" fontId="26" fillId="0" borderId="0" xfId="101" applyFont="1" applyAlignment="1">
      <alignment horizontal="left" vertical="center" wrapText="1"/>
      <protection/>
    </xf>
    <xf numFmtId="0" fontId="24" fillId="0" borderId="0" xfId="101" applyFont="1" applyAlignment="1">
      <alignment horizontal="left" vertical="center" wrapText="1"/>
      <protection/>
    </xf>
    <xf numFmtId="0" fontId="11" fillId="0" borderId="0" xfId="101" applyFont="1" applyAlignment="1">
      <alignment horizontal="center" vertical="center"/>
      <protection/>
    </xf>
    <xf numFmtId="3" fontId="11" fillId="0" borderId="0" xfId="101" applyNumberFormat="1" applyFont="1" applyAlignment="1">
      <alignment horizontal="center" vertical="center"/>
      <protection/>
    </xf>
    <xf numFmtId="3" fontId="12" fillId="0" borderId="0" xfId="101" applyNumberFormat="1" applyFont="1" applyAlignment="1">
      <alignment horizontal="center" vertical="center"/>
      <protection/>
    </xf>
    <xf numFmtId="49"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wrapText="1"/>
    </xf>
    <xf numFmtId="0" fontId="10" fillId="33" borderId="10" xfId="0" applyFont="1" applyFill="1" applyBorder="1" applyAlignment="1">
      <alignment horizontal="center" vertical="center"/>
    </xf>
    <xf numFmtId="3" fontId="8" fillId="33" borderId="10" xfId="0" applyNumberFormat="1" applyFont="1" applyFill="1" applyBorder="1" applyAlignment="1">
      <alignment horizontal="right" vertical="center"/>
    </xf>
    <xf numFmtId="0" fontId="0" fillId="33" borderId="0" xfId="0" applyFill="1" applyAlignment="1">
      <alignment vertical="center"/>
    </xf>
    <xf numFmtId="3" fontId="0" fillId="33" borderId="0" xfId="0" applyNumberFormat="1" applyFill="1" applyAlignment="1">
      <alignment vertical="center"/>
    </xf>
    <xf numFmtId="49" fontId="109"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xf>
    <xf numFmtId="175" fontId="111" fillId="33" borderId="10" xfId="67" applyNumberFormat="1" applyFont="1" applyFill="1" applyBorder="1" applyAlignment="1">
      <alignment vertical="center"/>
    </xf>
    <xf numFmtId="3" fontId="27" fillId="0" borderId="0" xfId="104" applyNumberFormat="1" applyFont="1" applyAlignment="1">
      <alignment horizontal="right" vertical="center"/>
      <protection/>
    </xf>
    <xf numFmtId="3" fontId="27" fillId="0" borderId="0" xfId="104" applyNumberFormat="1" applyFont="1" applyAlignment="1">
      <alignment horizontal="right" vertical="center" wrapText="1"/>
      <protection/>
    </xf>
    <xf numFmtId="0" fontId="27" fillId="0" borderId="0" xfId="104" applyFont="1" applyAlignment="1">
      <alignment vertical="center"/>
      <protection/>
    </xf>
    <xf numFmtId="0" fontId="17" fillId="0" borderId="0" xfId="104" applyFont="1" applyAlignment="1">
      <alignment horizontal="center" vertical="center"/>
      <protection/>
    </xf>
    <xf numFmtId="0" fontId="1" fillId="0" borderId="0" xfId="104" applyFont="1" applyAlignment="1">
      <alignment horizontal="justify" vertical="center" wrapText="1"/>
      <protection/>
    </xf>
    <xf numFmtId="3" fontId="1" fillId="0" borderId="0" xfId="104" applyNumberFormat="1" applyFont="1" applyAlignment="1">
      <alignment horizontal="right" vertical="center"/>
      <protection/>
    </xf>
    <xf numFmtId="3" fontId="1" fillId="0" borderId="0" xfId="104" applyNumberFormat="1" applyFont="1" applyAlignment="1">
      <alignment horizontal="right" vertical="center" wrapText="1"/>
      <protection/>
    </xf>
    <xf numFmtId="0" fontId="1" fillId="0" borderId="0" xfId="104" applyFont="1" applyAlignment="1">
      <alignment vertical="center"/>
      <protection/>
    </xf>
    <xf numFmtId="0" fontId="5" fillId="0" borderId="0" xfId="104" applyFont="1" applyAlignment="1">
      <alignment vertical="center"/>
      <protection/>
    </xf>
    <xf numFmtId="0" fontId="12" fillId="0" borderId="14" xfId="104" applyFont="1" applyBorder="1" applyAlignment="1">
      <alignment horizontal="center" vertical="center" wrapText="1"/>
      <protection/>
    </xf>
    <xf numFmtId="0" fontId="12" fillId="0" borderId="14" xfId="104" applyFont="1" applyBorder="1" applyAlignment="1">
      <alignment vertical="center" wrapText="1"/>
      <protection/>
    </xf>
    <xf numFmtId="3" fontId="12" fillId="0" borderId="14" xfId="104" applyNumberFormat="1" applyFont="1" applyBorder="1" applyAlignment="1">
      <alignment horizontal="right" vertical="center" wrapText="1"/>
      <protection/>
    </xf>
    <xf numFmtId="201" fontId="30" fillId="33" borderId="14" xfId="70" applyFont="1" applyFill="1" applyBorder="1" applyAlignment="1">
      <alignment vertical="center"/>
    </xf>
    <xf numFmtId="201" fontId="30" fillId="33" borderId="14" xfId="70" applyFont="1" applyFill="1" applyBorder="1" applyAlignment="1">
      <alignment horizontal="center" vertical="center"/>
    </xf>
    <xf numFmtId="201" fontId="30" fillId="33" borderId="14" xfId="70" applyFont="1" applyFill="1" applyBorder="1" applyAlignment="1">
      <alignment horizontal="center" vertical="center" wrapText="1"/>
    </xf>
    <xf numFmtId="201" fontId="30" fillId="0" borderId="14" xfId="70" applyFont="1" applyFill="1" applyBorder="1" applyAlignment="1">
      <alignment horizontal="center" vertical="center" wrapText="1"/>
    </xf>
    <xf numFmtId="0" fontId="12" fillId="0" borderId="12" xfId="104" applyFont="1" applyBorder="1" applyAlignment="1">
      <alignment horizontal="center" vertical="center" wrapText="1"/>
      <protection/>
    </xf>
    <xf numFmtId="0" fontId="12" fillId="0" borderId="12" xfId="104" applyFont="1" applyBorder="1" applyAlignment="1">
      <alignment vertical="center" wrapText="1"/>
      <protection/>
    </xf>
    <xf numFmtId="3" fontId="12" fillId="0" borderId="12" xfId="104" applyNumberFormat="1" applyFont="1" applyBorder="1" applyAlignment="1">
      <alignment horizontal="right" vertical="center" wrapText="1"/>
      <protection/>
    </xf>
    <xf numFmtId="3" fontId="1" fillId="0" borderId="12" xfId="104" applyNumberFormat="1" applyFont="1" applyBorder="1" applyAlignment="1">
      <alignment horizontal="right" vertical="center" wrapText="1"/>
      <protection/>
    </xf>
    <xf numFmtId="3" fontId="11" fillId="0" borderId="12" xfId="104" applyNumberFormat="1" applyFont="1" applyBorder="1" applyAlignment="1">
      <alignment horizontal="center" vertical="center" wrapText="1"/>
      <protection/>
    </xf>
    <xf numFmtId="3" fontId="17" fillId="0" borderId="12" xfId="104" applyNumberFormat="1" applyFont="1" applyBorder="1" applyAlignment="1">
      <alignment horizontal="right" vertical="center" wrapText="1"/>
      <protection/>
    </xf>
    <xf numFmtId="3" fontId="11" fillId="0" borderId="12" xfId="104" applyNumberFormat="1" applyFont="1" applyBorder="1" applyAlignment="1">
      <alignment horizontal="right" vertical="center" wrapText="1"/>
      <protection/>
    </xf>
    <xf numFmtId="9" fontId="12" fillId="0" borderId="12" xfId="111" applyFont="1" applyBorder="1" applyAlignment="1">
      <alignment horizontal="right" vertical="center" wrapText="1"/>
    </xf>
    <xf numFmtId="0" fontId="31" fillId="0" borderId="15" xfId="104" applyFont="1" applyBorder="1" applyAlignment="1">
      <alignment horizontal="center" vertical="center" wrapText="1"/>
      <protection/>
    </xf>
    <xf numFmtId="0" fontId="12" fillId="0" borderId="15" xfId="104" applyFont="1" applyBorder="1" applyAlignment="1">
      <alignment horizontal="center" vertical="center" wrapText="1"/>
      <protection/>
    </xf>
    <xf numFmtId="3" fontId="28" fillId="0" borderId="15" xfId="104" applyNumberFormat="1" applyFont="1" applyBorder="1" applyAlignment="1">
      <alignment horizontal="right" vertical="center" wrapText="1"/>
      <protection/>
    </xf>
    <xf numFmtId="3" fontId="11" fillId="0" borderId="15" xfId="104" applyNumberFormat="1" applyFont="1" applyBorder="1" applyAlignment="1">
      <alignment horizontal="center" vertical="center" wrapText="1"/>
      <protection/>
    </xf>
    <xf numFmtId="3" fontId="17" fillId="0" borderId="15" xfId="104" applyNumberFormat="1" applyFont="1" applyBorder="1" applyAlignment="1">
      <alignment horizontal="right" vertical="center" wrapText="1"/>
      <protection/>
    </xf>
    <xf numFmtId="0" fontId="31" fillId="0" borderId="0" xfId="104" applyFont="1" applyBorder="1" applyAlignment="1">
      <alignment vertical="center" wrapText="1"/>
      <protection/>
    </xf>
    <xf numFmtId="3" fontId="27" fillId="0" borderId="0" xfId="104" applyNumberFormat="1" applyFont="1" applyBorder="1" applyAlignment="1">
      <alignment horizontal="right" vertical="center" wrapText="1"/>
      <protection/>
    </xf>
    <xf numFmtId="0" fontId="27" fillId="0" borderId="0" xfId="104" applyFont="1" applyBorder="1" applyAlignment="1">
      <alignment horizontal="justify" vertical="center" wrapText="1"/>
      <protection/>
    </xf>
    <xf numFmtId="0" fontId="31" fillId="0" borderId="0" xfId="104" applyFont="1" applyBorder="1" applyAlignment="1">
      <alignment horizontal="center" vertical="center" wrapText="1"/>
      <protection/>
    </xf>
    <xf numFmtId="0" fontId="28" fillId="0" borderId="0" xfId="104" applyFont="1" applyBorder="1" applyAlignment="1">
      <alignment horizontal="justify" vertical="center" wrapText="1"/>
      <protection/>
    </xf>
    <xf numFmtId="3" fontId="28" fillId="0" borderId="0" xfId="104" applyNumberFormat="1" applyFont="1" applyBorder="1" applyAlignment="1">
      <alignment horizontal="right" vertical="center" wrapText="1"/>
      <protection/>
    </xf>
    <xf numFmtId="0" fontId="32" fillId="0" borderId="0" xfId="104" applyFont="1" applyBorder="1" applyAlignment="1">
      <alignment horizontal="center" vertical="center" wrapText="1"/>
      <protection/>
    </xf>
    <xf numFmtId="0" fontId="33" fillId="0" borderId="0" xfId="104" applyFont="1" applyBorder="1" applyAlignment="1">
      <alignment horizontal="justify" vertical="center" wrapText="1"/>
      <protection/>
    </xf>
    <xf numFmtId="0" fontId="32" fillId="0" borderId="0" xfId="104" applyFont="1" applyAlignment="1">
      <alignment horizontal="center" vertical="center"/>
      <protection/>
    </xf>
    <xf numFmtId="0" fontId="33" fillId="0" borderId="0" xfId="104" applyFont="1" applyAlignment="1">
      <alignment horizontal="justify" vertical="center" wrapText="1"/>
      <protection/>
    </xf>
    <xf numFmtId="3" fontId="11" fillId="0" borderId="20" xfId="104" applyNumberFormat="1" applyFont="1" applyBorder="1" applyAlignment="1">
      <alignment horizontal="right" vertical="center" wrapText="1"/>
      <protection/>
    </xf>
    <xf numFmtId="9" fontId="11" fillId="0" borderId="20" xfId="111" applyFont="1" applyBorder="1" applyAlignment="1">
      <alignment horizontal="right" vertical="center" wrapText="1"/>
    </xf>
    <xf numFmtId="3" fontId="11" fillId="0" borderId="0" xfId="101" applyNumberFormat="1" applyFont="1" applyAlignment="1">
      <alignment vertical="center"/>
      <protection/>
    </xf>
    <xf numFmtId="3" fontId="11" fillId="33" borderId="12" xfId="101" applyNumberFormat="1" applyFont="1" applyFill="1" applyBorder="1" applyAlignment="1">
      <alignment horizontal="center" vertical="center"/>
      <protection/>
    </xf>
    <xf numFmtId="0" fontId="11" fillId="0" borderId="11" xfId="103" applyFont="1" applyBorder="1" applyAlignment="1">
      <alignment horizontal="center" vertical="center" wrapText="1"/>
      <protection/>
    </xf>
    <xf numFmtId="0" fontId="11" fillId="0" borderId="21" xfId="103" applyFont="1" applyBorder="1" applyAlignment="1">
      <alignment vertical="center" wrapText="1"/>
      <protection/>
    </xf>
    <xf numFmtId="3" fontId="11" fillId="0" borderId="16" xfId="101" applyNumberFormat="1" applyFont="1" applyBorder="1" applyAlignment="1">
      <alignment horizontal="center" vertical="center"/>
      <protection/>
    </xf>
    <xf numFmtId="0" fontId="11" fillId="0" borderId="12" xfId="103" applyFont="1" applyBorder="1" applyAlignment="1">
      <alignment horizontal="center" vertical="center" wrapText="1"/>
      <protection/>
    </xf>
    <xf numFmtId="0" fontId="11" fillId="0" borderId="12" xfId="103" applyFont="1" applyBorder="1" applyAlignment="1">
      <alignment vertical="center" wrapText="1"/>
      <protection/>
    </xf>
    <xf numFmtId="169" fontId="11" fillId="33" borderId="12" xfId="69" applyFont="1" applyFill="1" applyBorder="1" applyAlignment="1">
      <alignment horizontal="left" vertical="center" wrapText="1"/>
    </xf>
    <xf numFmtId="0" fontId="11" fillId="0" borderId="15" xfId="103" applyFont="1" applyBorder="1" applyAlignment="1">
      <alignment horizontal="center" vertical="center" wrapText="1"/>
      <protection/>
    </xf>
    <xf numFmtId="169" fontId="11" fillId="33" borderId="15" xfId="69" applyFont="1" applyFill="1" applyBorder="1" applyAlignment="1">
      <alignment horizontal="left" vertical="center" wrapText="1"/>
    </xf>
    <xf numFmtId="3" fontId="11" fillId="0" borderId="15" xfId="101" applyNumberFormat="1" applyFont="1" applyBorder="1" applyAlignment="1">
      <alignment horizontal="center" vertical="center"/>
      <protection/>
    </xf>
    <xf numFmtId="0" fontId="11" fillId="0" borderId="14" xfId="103" applyFont="1" applyBorder="1" applyAlignment="1">
      <alignment horizontal="center" vertical="center" wrapText="1"/>
      <protection/>
    </xf>
    <xf numFmtId="169" fontId="11" fillId="33" borderId="14" xfId="69" applyFont="1" applyFill="1" applyBorder="1" applyAlignment="1">
      <alignment horizontal="left" vertical="center" wrapText="1"/>
    </xf>
    <xf numFmtId="3" fontId="11" fillId="0" borderId="14" xfId="101" applyNumberFormat="1" applyFont="1" applyBorder="1" applyAlignment="1">
      <alignment horizontal="center" vertical="center"/>
      <protection/>
    </xf>
    <xf numFmtId="3" fontId="29" fillId="0" borderId="0" xfId="101" applyNumberFormat="1" applyFont="1" applyAlignment="1">
      <alignment horizontal="center" vertical="center"/>
      <protection/>
    </xf>
    <xf numFmtId="3" fontId="11" fillId="0" borderId="12" xfId="103" applyNumberFormat="1" applyFont="1" applyBorder="1" applyAlignment="1">
      <alignment horizontal="right" vertical="center" wrapText="1"/>
      <protection/>
    </xf>
    <xf numFmtId="3" fontId="17" fillId="0" borderId="20" xfId="104" applyNumberFormat="1" applyFont="1" applyBorder="1" applyAlignment="1">
      <alignment horizontal="right" vertical="center" wrapText="1"/>
      <protection/>
    </xf>
    <xf numFmtId="3" fontId="11" fillId="0" borderId="20" xfId="104" applyNumberFormat="1" applyFont="1" applyBorder="1" applyAlignment="1">
      <alignment horizontal="center" vertical="center" wrapText="1"/>
      <protection/>
    </xf>
    <xf numFmtId="0" fontId="12" fillId="0" borderId="12" xfId="103" applyFont="1" applyBorder="1" applyAlignment="1">
      <alignment vertical="center" wrapText="1"/>
      <protection/>
    </xf>
    <xf numFmtId="0" fontId="11" fillId="0" borderId="22" xfId="103" applyFont="1" applyBorder="1" applyAlignment="1">
      <alignment vertical="center" wrapText="1"/>
      <protection/>
    </xf>
    <xf numFmtId="201" fontId="12" fillId="0" borderId="12" xfId="70" applyFont="1" applyFill="1" applyBorder="1" applyAlignment="1">
      <alignment horizontal="center" vertical="center" wrapText="1"/>
    </xf>
    <xf numFmtId="0" fontId="17" fillId="0" borderId="0" xfId="104" applyFont="1" applyAlignment="1">
      <alignment vertical="center"/>
      <protection/>
    </xf>
    <xf numFmtId="0" fontId="17" fillId="0" borderId="12" xfId="104" applyFont="1" applyBorder="1" applyAlignment="1">
      <alignment horizontal="center" vertical="center"/>
      <protection/>
    </xf>
    <xf numFmtId="3" fontId="17" fillId="0" borderId="12" xfId="104" applyNumberFormat="1" applyFont="1" applyBorder="1" applyAlignment="1">
      <alignment horizontal="center" vertical="center"/>
      <protection/>
    </xf>
    <xf numFmtId="3" fontId="17" fillId="0" borderId="12" xfId="104" applyNumberFormat="1" applyFont="1" applyBorder="1" applyAlignment="1">
      <alignment horizontal="right" vertical="center"/>
      <protection/>
    </xf>
    <xf numFmtId="3" fontId="17" fillId="0" borderId="0" xfId="104" applyNumberFormat="1" applyFont="1" applyAlignment="1">
      <alignment vertical="center"/>
      <protection/>
    </xf>
    <xf numFmtId="169" fontId="11" fillId="0" borderId="12" xfId="69" applyFont="1" applyFill="1" applyBorder="1" applyAlignment="1">
      <alignment horizontal="center" vertical="center"/>
    </xf>
    <xf numFmtId="3" fontId="1" fillId="0" borderId="0" xfId="104" applyNumberFormat="1" applyFont="1" applyAlignment="1">
      <alignment vertical="center"/>
      <protection/>
    </xf>
    <xf numFmtId="0" fontId="35" fillId="0" borderId="0" xfId="104" applyFont="1" applyAlignment="1">
      <alignment vertical="center"/>
      <protection/>
    </xf>
    <xf numFmtId="169" fontId="11" fillId="0" borderId="15" xfId="69" applyFont="1" applyFill="1" applyBorder="1" applyAlignment="1">
      <alignment horizontal="center" vertical="center"/>
    </xf>
    <xf numFmtId="0" fontId="11" fillId="0" borderId="20" xfId="104" applyFont="1" applyBorder="1" applyAlignment="1">
      <alignment horizontal="center" vertical="center" wrapText="1"/>
      <protection/>
    </xf>
    <xf numFmtId="0" fontId="0" fillId="0" borderId="20" xfId="104" applyFont="1" applyBorder="1" applyAlignment="1">
      <alignment vertical="center" wrapText="1"/>
      <protection/>
    </xf>
    <xf numFmtId="3" fontId="12" fillId="0" borderId="12" xfId="104" applyNumberFormat="1" applyFont="1" applyBorder="1" applyAlignment="1">
      <alignment vertical="center" wrapText="1"/>
      <protection/>
    </xf>
    <xf numFmtId="3" fontId="17" fillId="0" borderId="12" xfId="104" applyNumberFormat="1" applyFont="1" applyBorder="1" applyAlignment="1">
      <alignment vertical="center"/>
      <protection/>
    </xf>
    <xf numFmtId="3" fontId="11" fillId="0" borderId="12" xfId="101" applyNumberFormat="1" applyFont="1" applyBorder="1" applyAlignment="1">
      <alignment vertical="center"/>
      <protection/>
    </xf>
    <xf numFmtId="175" fontId="1" fillId="0" borderId="12" xfId="75" applyNumberFormat="1" applyFont="1" applyBorder="1" applyAlignment="1">
      <alignment vertical="center"/>
    </xf>
    <xf numFmtId="3" fontId="11" fillId="0" borderId="15" xfId="101" applyNumberFormat="1" applyFont="1" applyBorder="1" applyAlignment="1">
      <alignment vertical="center"/>
      <protection/>
    </xf>
    <xf numFmtId="175" fontId="1" fillId="0" borderId="15" xfId="75" applyNumberFormat="1" applyFont="1" applyBorder="1" applyAlignment="1">
      <alignment vertical="center"/>
    </xf>
    <xf numFmtId="3" fontId="12" fillId="0" borderId="15" xfId="104" applyNumberFormat="1" applyFont="1" applyBorder="1" applyAlignment="1">
      <alignment vertical="center" wrapText="1"/>
      <protection/>
    </xf>
    <xf numFmtId="201" fontId="12" fillId="33" borderId="10" xfId="70" applyFont="1" applyFill="1" applyBorder="1" applyAlignment="1">
      <alignment horizontal="center" vertical="center"/>
    </xf>
    <xf numFmtId="201" fontId="12" fillId="33" borderId="10" xfId="70" applyFont="1" applyFill="1" applyBorder="1" applyAlignment="1">
      <alignment horizontal="center" vertical="center" wrapText="1"/>
    </xf>
    <xf numFmtId="201" fontId="12" fillId="0" borderId="10" xfId="70" applyFont="1" applyFill="1" applyBorder="1" applyAlignment="1">
      <alignment horizontal="center" vertical="center" wrapText="1"/>
    </xf>
    <xf numFmtId="0" fontId="12" fillId="0" borderId="11" xfId="103" applyFont="1" applyBorder="1" applyAlignment="1">
      <alignment horizontal="center" vertical="center" wrapText="1"/>
      <protection/>
    </xf>
    <xf numFmtId="0" fontId="12" fillId="0" borderId="13" xfId="103" applyFont="1" applyBorder="1" applyAlignment="1">
      <alignment horizontal="center" vertical="center"/>
      <protection/>
    </xf>
    <xf numFmtId="0" fontId="12" fillId="0" borderId="13" xfId="103" applyFont="1" applyBorder="1" applyAlignment="1">
      <alignment vertical="center"/>
      <protection/>
    </xf>
    <xf numFmtId="10" fontId="12" fillId="0" borderId="13" xfId="103" applyNumberFormat="1" applyFont="1" applyBorder="1" applyAlignment="1">
      <alignment horizontal="right" vertical="center"/>
      <protection/>
    </xf>
    <xf numFmtId="0" fontId="11" fillId="0" borderId="13" xfId="103" applyFont="1" applyBorder="1" applyAlignment="1">
      <alignment vertical="center"/>
      <protection/>
    </xf>
    <xf numFmtId="0" fontId="12" fillId="0" borderId="12" xfId="103" applyFont="1" applyBorder="1" applyAlignment="1">
      <alignment horizontal="center" vertical="center" wrapText="1"/>
      <protection/>
    </xf>
    <xf numFmtId="3" fontId="12" fillId="0" borderId="12" xfId="103" applyNumberFormat="1" applyFont="1" applyBorder="1" applyAlignment="1">
      <alignment horizontal="center" vertical="center" wrapText="1"/>
      <protection/>
    </xf>
    <xf numFmtId="3" fontId="12" fillId="0" borderId="12" xfId="103" applyNumberFormat="1" applyFont="1" applyBorder="1" applyAlignment="1">
      <alignment horizontal="right" vertical="center" wrapText="1"/>
      <protection/>
    </xf>
    <xf numFmtId="0" fontId="11" fillId="0" borderId="12" xfId="103" applyFont="1" applyBorder="1" applyAlignment="1">
      <alignment horizontal="justify" vertical="center" wrapText="1"/>
      <protection/>
    </xf>
    <xf numFmtId="3" fontId="11" fillId="0" borderId="12" xfId="103" applyNumberFormat="1" applyFont="1" applyBorder="1" applyAlignment="1">
      <alignment horizontal="center" vertical="center" wrapText="1"/>
      <protection/>
    </xf>
    <xf numFmtId="0" fontId="12" fillId="0" borderId="12" xfId="103" applyFont="1" applyBorder="1" applyAlignment="1">
      <alignment horizontal="center" vertical="center"/>
      <protection/>
    </xf>
    <xf numFmtId="0" fontId="12" fillId="0" borderId="12" xfId="103" applyFont="1" applyBorder="1" applyAlignment="1">
      <alignment vertical="center"/>
      <protection/>
    </xf>
    <xf numFmtId="0" fontId="11" fillId="0" borderId="12" xfId="103" applyFont="1" applyBorder="1" applyAlignment="1">
      <alignment horizontal="center" vertical="center"/>
      <protection/>
    </xf>
    <xf numFmtId="0" fontId="11" fillId="0" borderId="12" xfId="103" applyFont="1" applyBorder="1" applyAlignment="1">
      <alignment vertical="center"/>
      <protection/>
    </xf>
    <xf numFmtId="0" fontId="24" fillId="0" borderId="12" xfId="103" applyFont="1" applyBorder="1" applyAlignment="1">
      <alignment horizontal="center" vertical="center" wrapText="1"/>
      <protection/>
    </xf>
    <xf numFmtId="0" fontId="24" fillId="0" borderId="12" xfId="103" applyFont="1" applyBorder="1" applyAlignment="1">
      <alignment vertical="center" wrapText="1"/>
      <protection/>
    </xf>
    <xf numFmtId="3" fontId="11" fillId="33" borderId="12" xfId="103" applyNumberFormat="1" applyFont="1" applyFill="1" applyBorder="1" applyAlignment="1">
      <alignment horizontal="right" vertical="center" wrapText="1"/>
      <protection/>
    </xf>
    <xf numFmtId="16" fontId="11" fillId="0" borderId="12" xfId="103" applyNumberFormat="1" applyFont="1" applyBorder="1" applyAlignment="1">
      <alignment horizontal="left" vertical="center" wrapText="1"/>
      <protection/>
    </xf>
    <xf numFmtId="0" fontId="34" fillId="0" borderId="0" xfId="103" applyFont="1" applyAlignment="1">
      <alignment vertical="center"/>
      <protection/>
    </xf>
    <xf numFmtId="0" fontId="17" fillId="0" borderId="12" xfId="104" applyFont="1" applyBorder="1" applyAlignment="1">
      <alignment vertical="center"/>
      <protection/>
    </xf>
    <xf numFmtId="1" fontId="36" fillId="0" borderId="12" xfId="104" applyNumberFormat="1" applyFont="1" applyBorder="1" applyAlignment="1">
      <alignment horizontal="center" vertical="center"/>
      <protection/>
    </xf>
    <xf numFmtId="3" fontId="36" fillId="0" borderId="12" xfId="104" applyNumberFormat="1" applyFont="1" applyBorder="1" applyAlignment="1">
      <alignment horizontal="center" vertical="center"/>
      <protection/>
    </xf>
    <xf numFmtId="3" fontId="1" fillId="0" borderId="12" xfId="104" applyNumberFormat="1" applyFont="1" applyBorder="1" applyAlignment="1">
      <alignment horizontal="center" vertical="center"/>
      <protection/>
    </xf>
    <xf numFmtId="3" fontId="36" fillId="0" borderId="12" xfId="104" applyNumberFormat="1" applyFont="1" applyBorder="1" applyAlignment="1">
      <alignment horizontal="right" vertical="center"/>
      <protection/>
    </xf>
    <xf numFmtId="0" fontId="26" fillId="0" borderId="0" xfId="104" applyFont="1" applyAlignment="1">
      <alignment vertical="center"/>
      <protection/>
    </xf>
    <xf numFmtId="0" fontId="1" fillId="0" borderId="12" xfId="104" applyFont="1" applyBorder="1" applyAlignment="1">
      <alignment horizontal="center" vertical="center"/>
      <protection/>
    </xf>
    <xf numFmtId="0" fontId="11" fillId="0" borderId="12" xfId="104" applyFont="1" applyFill="1" applyBorder="1" applyAlignment="1">
      <alignment horizontal="left" vertical="center" wrapText="1"/>
      <protection/>
    </xf>
    <xf numFmtId="0" fontId="11" fillId="0" borderId="12" xfId="104" applyFont="1" applyFill="1" applyBorder="1" applyAlignment="1">
      <alignment horizontal="center" vertical="center" wrapText="1"/>
      <protection/>
    </xf>
    <xf numFmtId="3" fontId="11" fillId="0" borderId="12" xfId="104" applyNumberFormat="1" applyFont="1" applyFill="1" applyBorder="1" applyAlignment="1">
      <alignment horizontal="center" vertical="center" wrapText="1"/>
      <protection/>
    </xf>
    <xf numFmtId="3" fontId="1" fillId="0" borderId="12" xfId="104" applyNumberFormat="1" applyFont="1" applyBorder="1" applyAlignment="1">
      <alignment horizontal="right" vertical="center"/>
      <protection/>
    </xf>
    <xf numFmtId="179" fontId="11" fillId="0" borderId="12" xfId="104" applyNumberFormat="1" applyFont="1" applyFill="1" applyBorder="1" applyAlignment="1">
      <alignment horizontal="center" vertical="center" wrapText="1"/>
      <protection/>
    </xf>
    <xf numFmtId="0" fontId="11" fillId="0" borderId="12" xfId="104" applyFont="1" applyBorder="1" applyAlignment="1">
      <alignment horizontal="center" vertical="center"/>
      <protection/>
    </xf>
    <xf numFmtId="0" fontId="11" fillId="0" borderId="12" xfId="104" applyFont="1" applyBorder="1" applyAlignment="1">
      <alignment vertical="center"/>
      <protection/>
    </xf>
    <xf numFmtId="1" fontId="11" fillId="0" borderId="12" xfId="104" applyNumberFormat="1" applyFont="1" applyBorder="1" applyAlignment="1">
      <alignment horizontal="center" vertical="center"/>
      <protection/>
    </xf>
    <xf numFmtId="180" fontId="11" fillId="0" borderId="12" xfId="104" applyNumberFormat="1" applyFont="1" applyFill="1" applyBorder="1" applyAlignment="1">
      <alignment horizontal="center" vertical="center" wrapText="1"/>
      <protection/>
    </xf>
    <xf numFmtId="0" fontId="11" fillId="0" borderId="12" xfId="104" applyFont="1" applyBorder="1" applyAlignment="1">
      <alignment vertical="center" wrapText="1"/>
      <protection/>
    </xf>
    <xf numFmtId="1" fontId="1" fillId="0" borderId="12" xfId="104" applyNumberFormat="1" applyFont="1" applyBorder="1" applyAlignment="1">
      <alignment horizontal="center" vertical="center"/>
      <protection/>
    </xf>
    <xf numFmtId="0" fontId="11" fillId="0" borderId="0" xfId="104" applyFont="1" applyAlignment="1">
      <alignment vertical="center"/>
      <protection/>
    </xf>
    <xf numFmtId="0" fontId="36" fillId="0" borderId="12" xfId="104" applyFont="1" applyBorder="1" applyAlignment="1">
      <alignment horizontal="center" vertical="center"/>
      <protection/>
    </xf>
    <xf numFmtId="180" fontId="11" fillId="0" borderId="0" xfId="104" applyNumberFormat="1" applyFont="1" applyFill="1" applyBorder="1" applyAlignment="1">
      <alignment horizontal="center" vertical="center" wrapText="1"/>
      <protection/>
    </xf>
    <xf numFmtId="0" fontId="24" fillId="0" borderId="0" xfId="104" applyFont="1" applyAlignment="1">
      <alignment horizontal="center"/>
      <protection/>
    </xf>
    <xf numFmtId="0" fontId="17" fillId="0" borderId="10" xfId="104" applyFont="1" applyBorder="1" applyAlignment="1">
      <alignment horizontal="center" vertical="center"/>
      <protection/>
    </xf>
    <xf numFmtId="0" fontId="17" fillId="0" borderId="10" xfId="104" applyFont="1" applyBorder="1" applyAlignment="1">
      <alignment horizontal="center" vertical="center" wrapText="1"/>
      <protection/>
    </xf>
    <xf numFmtId="0" fontId="17" fillId="0" borderId="14" xfId="104" applyFont="1" applyBorder="1" applyAlignment="1">
      <alignment horizontal="center" vertical="center"/>
      <protection/>
    </xf>
    <xf numFmtId="0" fontId="17" fillId="0" borderId="14" xfId="104" applyFont="1" applyBorder="1" applyAlignment="1">
      <alignment vertical="center"/>
      <protection/>
    </xf>
    <xf numFmtId="0" fontId="1" fillId="0" borderId="14" xfId="104" applyFont="1" applyBorder="1" applyAlignment="1">
      <alignment horizontal="center" vertical="center" wrapText="1"/>
      <protection/>
    </xf>
    <xf numFmtId="0" fontId="17" fillId="0" borderId="14" xfId="104" applyFont="1" applyBorder="1" applyAlignment="1">
      <alignment horizontal="right" vertical="center"/>
      <protection/>
    </xf>
    <xf numFmtId="3" fontId="17" fillId="0" borderId="14" xfId="104" applyNumberFormat="1" applyFont="1" applyBorder="1" applyAlignment="1">
      <alignment horizontal="right" vertical="center"/>
      <protection/>
    </xf>
    <xf numFmtId="0" fontId="1" fillId="0" borderId="12" xfId="104" applyFont="1" applyBorder="1" applyAlignment="1">
      <alignment horizontal="center" vertical="center" wrapText="1"/>
      <protection/>
    </xf>
    <xf numFmtId="175" fontId="17" fillId="0" borderId="12" xfId="104" applyNumberFormat="1" applyFont="1" applyBorder="1" applyAlignment="1">
      <alignment horizontal="right" vertical="center"/>
      <protection/>
    </xf>
    <xf numFmtId="0" fontId="17" fillId="0" borderId="12" xfId="104" applyFont="1" applyBorder="1" applyAlignment="1">
      <alignment horizontal="right" vertical="center"/>
      <protection/>
    </xf>
    <xf numFmtId="0" fontId="17" fillId="0" borderId="12" xfId="104" applyFont="1" applyBorder="1" applyAlignment="1">
      <alignment horizontal="left" vertical="center"/>
      <protection/>
    </xf>
    <xf numFmtId="175" fontId="17" fillId="0" borderId="12" xfId="74" applyNumberFormat="1" applyFont="1" applyBorder="1" applyAlignment="1">
      <alignment horizontal="right" vertical="center"/>
    </xf>
    <xf numFmtId="3" fontId="11" fillId="0" borderId="12" xfId="104" applyNumberFormat="1" applyFont="1" applyFill="1" applyBorder="1" applyAlignment="1">
      <alignment horizontal="right" vertical="center" wrapText="1"/>
      <protection/>
    </xf>
    <xf numFmtId="0" fontId="11" fillId="0" borderId="12" xfId="104" applyFont="1" applyBorder="1" applyAlignment="1">
      <alignment horizontal="right" vertical="center" wrapText="1"/>
      <protection/>
    </xf>
    <xf numFmtId="0" fontId="11" fillId="0" borderId="12" xfId="104" applyFont="1" applyBorder="1" applyAlignment="1">
      <alignment horizontal="right" vertical="center"/>
      <protection/>
    </xf>
    <xf numFmtId="180" fontId="11" fillId="0" borderId="12" xfId="104" applyNumberFormat="1" applyFont="1" applyFill="1" applyBorder="1" applyAlignment="1">
      <alignment horizontal="right" vertical="center" wrapText="1"/>
      <protection/>
    </xf>
    <xf numFmtId="179" fontId="11" fillId="0" borderId="12" xfId="104" applyNumberFormat="1" applyFont="1" applyFill="1" applyBorder="1" applyAlignment="1">
      <alignment horizontal="right" vertical="center" wrapText="1"/>
      <protection/>
    </xf>
    <xf numFmtId="0" fontId="17" fillId="0" borderId="12" xfId="104" applyFont="1" applyBorder="1" applyAlignment="1">
      <alignment horizontal="center" vertical="center" wrapText="1"/>
      <protection/>
    </xf>
    <xf numFmtId="0" fontId="17" fillId="0" borderId="12" xfId="104" applyFont="1" applyBorder="1" applyAlignment="1">
      <alignment vertical="center" wrapText="1"/>
      <protection/>
    </xf>
    <xf numFmtId="0" fontId="12" fillId="0" borderId="12" xfId="104" applyFont="1" applyBorder="1" applyAlignment="1">
      <alignment horizontal="right" vertical="center" wrapText="1"/>
      <protection/>
    </xf>
    <xf numFmtId="175" fontId="105" fillId="0" borderId="12" xfId="74" applyNumberFormat="1" applyFont="1" applyBorder="1" applyAlignment="1">
      <alignment horizontal="right" vertical="center"/>
    </xf>
    <xf numFmtId="3" fontId="11" fillId="0" borderId="12" xfId="104" applyNumberFormat="1" applyFont="1" applyBorder="1" applyAlignment="1">
      <alignment horizontal="right" vertical="center"/>
      <protection/>
    </xf>
    <xf numFmtId="0" fontId="12" fillId="0" borderId="13" xfId="104" applyFont="1" applyBorder="1" applyAlignment="1">
      <alignment horizontal="center" vertical="center"/>
      <protection/>
    </xf>
    <xf numFmtId="0" fontId="12" fillId="0" borderId="13" xfId="104" applyFont="1" applyBorder="1" applyAlignment="1">
      <alignment vertical="center"/>
      <protection/>
    </xf>
    <xf numFmtId="10" fontId="12" fillId="0" borderId="13" xfId="104" applyNumberFormat="1" applyFont="1" applyBorder="1" applyAlignment="1">
      <alignment horizontal="right" vertical="center"/>
      <protection/>
    </xf>
    <xf numFmtId="0" fontId="11" fillId="0" borderId="13" xfId="104" applyFont="1" applyBorder="1" applyAlignment="1">
      <alignment vertical="center"/>
      <protection/>
    </xf>
    <xf numFmtId="0" fontId="11" fillId="0" borderId="0" xfId="104" applyFont="1" applyAlignment="1">
      <alignment horizontal="center" vertical="center"/>
      <protection/>
    </xf>
    <xf numFmtId="0" fontId="11" fillId="0" borderId="0" xfId="104" applyFont="1" applyAlignment="1">
      <alignment horizontal="right" vertical="center"/>
      <protection/>
    </xf>
    <xf numFmtId="0" fontId="11" fillId="0" borderId="0" xfId="103" applyFont="1" applyAlignment="1">
      <alignment vertical="center" wrapText="1"/>
      <protection/>
    </xf>
    <xf numFmtId="0" fontId="11" fillId="0" borderId="0" xfId="103" applyFont="1" applyAlignment="1">
      <alignment horizontal="center" vertical="center" wrapText="1"/>
      <protection/>
    </xf>
    <xf numFmtId="0" fontId="11" fillId="0" borderId="0" xfId="103" applyFont="1" applyAlignment="1">
      <alignment vertical="center"/>
      <protection/>
    </xf>
    <xf numFmtId="0" fontId="11" fillId="0" borderId="0" xfId="103" applyFont="1" applyAlignment="1">
      <alignment horizontal="right" vertical="center"/>
      <protection/>
    </xf>
    <xf numFmtId="0" fontId="1" fillId="0" borderId="0" xfId="103" applyFont="1" applyAlignment="1">
      <alignment vertical="center"/>
      <protection/>
    </xf>
    <xf numFmtId="3" fontId="1" fillId="0" borderId="0" xfId="103" applyNumberFormat="1" applyFont="1" applyAlignment="1">
      <alignment vertical="center"/>
      <protection/>
    </xf>
    <xf numFmtId="199" fontId="1" fillId="0" borderId="0" xfId="103" applyNumberFormat="1" applyFont="1" applyAlignment="1">
      <alignment vertical="center"/>
      <protection/>
    </xf>
    <xf numFmtId="0" fontId="1" fillId="0" borderId="0" xfId="103" applyFont="1" applyAlignment="1">
      <alignment horizontal="center" vertical="center"/>
      <protection/>
    </xf>
    <xf numFmtId="0" fontId="1" fillId="0" borderId="0" xfId="103" applyFont="1" applyAlignment="1">
      <alignment horizontal="right" vertical="center"/>
      <protection/>
    </xf>
    <xf numFmtId="0" fontId="26" fillId="33" borderId="0" xfId="0" applyFont="1" applyFill="1" applyBorder="1" applyAlignment="1">
      <alignment horizontal="right" vertical="center"/>
    </xf>
    <xf numFmtId="3" fontId="11" fillId="35" borderId="12" xfId="103" applyNumberFormat="1" applyFont="1" applyFill="1" applyBorder="1" applyAlignment="1">
      <alignment horizontal="center" vertical="center" wrapText="1"/>
      <protection/>
    </xf>
    <xf numFmtId="175" fontId="1" fillId="33" borderId="12" xfId="75" applyNumberFormat="1" applyFont="1" applyFill="1" applyBorder="1" applyAlignment="1">
      <alignment vertical="center"/>
    </xf>
    <xf numFmtId="3" fontId="107" fillId="0" borderId="12" xfId="104" applyNumberFormat="1" applyFont="1" applyBorder="1" applyAlignment="1">
      <alignment horizontal="right" vertical="center"/>
      <protection/>
    </xf>
    <xf numFmtId="3" fontId="17" fillId="35" borderId="12" xfId="104" applyNumberFormat="1" applyFont="1" applyFill="1" applyBorder="1" applyAlignment="1">
      <alignment horizontal="right" vertical="center"/>
      <protection/>
    </xf>
    <xf numFmtId="3" fontId="11" fillId="0" borderId="0" xfId="104" applyNumberFormat="1" applyFont="1" applyAlignment="1">
      <alignment vertical="center"/>
      <protection/>
    </xf>
    <xf numFmtId="202" fontId="1" fillId="0" borderId="0" xfId="109" applyNumberFormat="1" applyFont="1" applyAlignment="1">
      <alignment vertical="center"/>
    </xf>
    <xf numFmtId="0" fontId="12" fillId="0" borderId="12" xfId="104" applyFont="1" applyBorder="1" applyAlignment="1">
      <alignment horizontal="center" vertical="center" wrapText="1"/>
      <protection/>
    </xf>
    <xf numFmtId="0" fontId="12" fillId="0" borderId="15" xfId="104" applyFont="1" applyBorder="1" applyAlignment="1">
      <alignment horizontal="center" vertical="center" wrapText="1"/>
      <protection/>
    </xf>
    <xf numFmtId="0" fontId="18" fillId="0" borderId="0" xfId="104" applyFont="1" applyAlignment="1" quotePrefix="1">
      <alignment horizontal="center" vertical="center"/>
      <protection/>
    </xf>
    <xf numFmtId="0" fontId="18" fillId="0" borderId="0" xfId="104" applyFont="1" applyAlignment="1">
      <alignment horizontal="center" vertical="center"/>
      <protection/>
    </xf>
    <xf numFmtId="0" fontId="17" fillId="0" borderId="11" xfId="104" applyFont="1" applyBorder="1" applyAlignment="1">
      <alignment horizontal="center" vertical="center" wrapText="1"/>
      <protection/>
    </xf>
    <xf numFmtId="0" fontId="17" fillId="0" borderId="13" xfId="104" applyFont="1" applyBorder="1" applyAlignment="1">
      <alignment horizontal="center" vertical="center" wrapText="1"/>
      <protection/>
    </xf>
    <xf numFmtId="3" fontId="17" fillId="0" borderId="11" xfId="104" applyNumberFormat="1" applyFont="1" applyBorder="1" applyAlignment="1">
      <alignment horizontal="center" vertical="center" wrapText="1"/>
      <protection/>
    </xf>
    <xf numFmtId="3" fontId="17" fillId="0" borderId="13" xfId="104" applyNumberFormat="1" applyFont="1" applyBorder="1" applyAlignment="1">
      <alignment horizontal="center" vertical="center" wrapText="1"/>
      <protection/>
    </xf>
    <xf numFmtId="201" fontId="12" fillId="33" borderId="18" xfId="70" applyFont="1" applyFill="1" applyBorder="1" applyAlignment="1">
      <alignment horizontal="center" vertical="center"/>
    </xf>
    <xf numFmtId="201" fontId="12" fillId="33" borderId="23" xfId="70" applyFont="1" applyFill="1" applyBorder="1" applyAlignment="1">
      <alignment horizontal="center" vertical="center"/>
    </xf>
    <xf numFmtId="201" fontId="12" fillId="33" borderId="17" xfId="70" applyFont="1" applyFill="1" applyBorder="1" applyAlignment="1">
      <alignment horizontal="center" vertical="center"/>
    </xf>
    <xf numFmtId="0" fontId="17" fillId="0" borderId="0" xfId="104" applyFont="1" applyAlignment="1">
      <alignment horizontal="center" vertical="center" wrapText="1"/>
      <protection/>
    </xf>
    <xf numFmtId="0" fontId="29" fillId="0" borderId="0" xfId="104" applyFont="1" applyAlignment="1">
      <alignment horizontal="right" vertical="center"/>
      <protection/>
    </xf>
    <xf numFmtId="201" fontId="12" fillId="0" borderId="11" xfId="70" applyFont="1" applyFill="1" applyBorder="1" applyAlignment="1">
      <alignment horizontal="center" vertical="center" wrapText="1"/>
    </xf>
    <xf numFmtId="201" fontId="12" fillId="0" borderId="13" xfId="70" applyFont="1" applyFill="1" applyBorder="1" applyAlignment="1">
      <alignment horizontal="center" vertical="center" wrapText="1"/>
    </xf>
    <xf numFmtId="0" fontId="24" fillId="0" borderId="0" xfId="104" applyFont="1" applyAlignment="1">
      <alignment horizontal="center"/>
      <protection/>
    </xf>
    <xf numFmtId="0" fontId="24" fillId="0" borderId="0" xfId="104" applyFont="1" applyAlignment="1">
      <alignment horizontal="right"/>
      <protection/>
    </xf>
    <xf numFmtId="0" fontId="17" fillId="0" borderId="24" xfId="104" applyFont="1" applyBorder="1" applyAlignment="1">
      <alignment horizontal="center" vertical="center" wrapText="1"/>
      <protection/>
    </xf>
    <xf numFmtId="0" fontId="26" fillId="0" borderId="0" xfId="101" applyFont="1" applyAlignment="1" quotePrefix="1">
      <alignment horizontal="left" vertical="center" wrapText="1"/>
      <protection/>
    </xf>
    <xf numFmtId="0" fontId="12" fillId="0" borderId="0" xfId="101" applyFont="1" applyAlignment="1">
      <alignment horizontal="center" vertical="center"/>
      <protection/>
    </xf>
    <xf numFmtId="0" fontId="12" fillId="0" borderId="0" xfId="101" applyFont="1" applyBorder="1" applyAlignment="1">
      <alignment horizontal="center" vertical="center" wrapText="1"/>
      <protection/>
    </xf>
    <xf numFmtId="0" fontId="26" fillId="0" borderId="0" xfId="101" applyFont="1" applyBorder="1" applyAlignment="1">
      <alignment horizontal="center" vertical="center" wrapText="1"/>
      <protection/>
    </xf>
    <xf numFmtId="0" fontId="11" fillId="0" borderId="0" xfId="101" applyFont="1">
      <alignment/>
      <protection/>
    </xf>
    <xf numFmtId="0" fontId="12" fillId="0" borderId="10" xfId="101" applyFont="1" applyBorder="1" applyAlignment="1">
      <alignment horizontal="center" vertical="center"/>
      <protection/>
    </xf>
    <xf numFmtId="0" fontId="12" fillId="0" borderId="0" xfId="103" applyFont="1" applyAlignment="1">
      <alignment horizontal="center" vertical="center"/>
      <protection/>
    </xf>
    <xf numFmtId="0" fontId="12" fillId="0" borderId="0" xfId="103" applyFont="1" applyBorder="1" applyAlignment="1">
      <alignment horizontal="center" vertical="center" wrapText="1"/>
      <protection/>
    </xf>
    <xf numFmtId="0" fontId="18" fillId="0" borderId="0" xfId="103" applyFont="1" applyAlignment="1">
      <alignment horizontal="center" vertical="center"/>
      <protection/>
    </xf>
    <xf numFmtId="16" fontId="124" fillId="0" borderId="25" xfId="103" applyNumberFormat="1" applyFont="1" applyBorder="1" applyAlignment="1">
      <alignment horizontal="center" vertical="center" wrapText="1"/>
      <protection/>
    </xf>
    <xf numFmtId="16" fontId="124" fillId="0" borderId="13" xfId="103" applyNumberFormat="1" applyFont="1" applyBorder="1" applyAlignment="1">
      <alignment horizontal="center" vertical="center" wrapText="1"/>
      <protection/>
    </xf>
    <xf numFmtId="16" fontId="125" fillId="0" borderId="10" xfId="103" applyNumberFormat="1" applyFont="1" applyBorder="1" applyAlignment="1">
      <alignment horizontal="center" vertical="center" wrapText="1"/>
      <protection/>
    </xf>
    <xf numFmtId="0" fontId="113" fillId="0" borderId="14" xfId="0" applyFont="1" applyBorder="1" applyAlignment="1">
      <alignment horizontal="left" vertical="center"/>
    </xf>
    <xf numFmtId="0" fontId="112" fillId="0" borderId="10" xfId="0" applyFont="1" applyBorder="1" applyAlignment="1">
      <alignment horizontal="center" vertical="center"/>
    </xf>
    <xf numFmtId="0" fontId="2" fillId="0" borderId="24" xfId="0" applyFont="1" applyBorder="1" applyAlignment="1">
      <alignment horizontal="center" vertical="center"/>
    </xf>
    <xf numFmtId="0" fontId="112" fillId="0" borderId="10" xfId="0" applyFont="1" applyBorder="1" applyAlignment="1">
      <alignment horizontal="center" vertical="center" wrapText="1"/>
    </xf>
    <xf numFmtId="0" fontId="6" fillId="0" borderId="0" xfId="0" applyFont="1" applyAlignment="1">
      <alignment horizontal="center" vertical="center" wrapText="1"/>
    </xf>
    <xf numFmtId="0" fontId="8" fillId="0" borderId="24"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175" fontId="9" fillId="0" borderId="11" xfId="67" applyNumberFormat="1" applyFont="1" applyBorder="1" applyAlignment="1">
      <alignment horizontal="center" vertical="center" wrapText="1"/>
    </xf>
    <xf numFmtId="175" fontId="9" fillId="0" borderId="13" xfId="67" applyNumberFormat="1" applyFont="1" applyBorder="1" applyAlignment="1">
      <alignment horizontal="center" vertical="center" wrapText="1"/>
    </xf>
    <xf numFmtId="0" fontId="12" fillId="33" borderId="0" xfId="0" applyFont="1" applyFill="1" applyBorder="1" applyAlignment="1">
      <alignment horizontal="center" vertical="center" wrapText="1"/>
    </xf>
    <xf numFmtId="0" fontId="12"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5" xfId="0" applyFont="1" applyFill="1" applyBorder="1" applyAlignment="1">
      <alignment horizontal="center" vertical="center"/>
    </xf>
    <xf numFmtId="0" fontId="105"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3" xfId="0" applyFont="1" applyFill="1" applyBorder="1" applyAlignment="1">
      <alignment horizontal="center" vertical="center"/>
    </xf>
    <xf numFmtId="4" fontId="12" fillId="33" borderId="11" xfId="0" applyNumberFormat="1" applyFont="1" applyFill="1" applyBorder="1" applyAlignment="1">
      <alignment horizontal="center" vertical="center" wrapText="1"/>
    </xf>
    <xf numFmtId="4" fontId="12" fillId="33" borderId="13" xfId="0" applyNumberFormat="1" applyFont="1" applyFill="1" applyBorder="1" applyAlignment="1">
      <alignment horizontal="center" vertical="center" wrapText="1"/>
    </xf>
    <xf numFmtId="4" fontId="12" fillId="33" borderId="18" xfId="0" applyNumberFormat="1" applyFont="1" applyFill="1" applyBorder="1" applyAlignment="1">
      <alignment horizontal="center" vertical="center" wrapText="1"/>
    </xf>
    <xf numFmtId="4" fontId="12" fillId="33" borderId="23" xfId="0" applyNumberFormat="1" applyFont="1" applyFill="1" applyBorder="1" applyAlignment="1">
      <alignment horizontal="center" vertical="center" wrapText="1"/>
    </xf>
    <xf numFmtId="4" fontId="12" fillId="33" borderId="17" xfId="0" applyNumberFormat="1" applyFont="1" applyFill="1" applyBorder="1" applyAlignment="1">
      <alignment horizontal="center" vertical="center" wrapText="1"/>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0] 2 2" xfId="69"/>
    <cellStyle name="Comma [0] 2 2 2" xfId="70"/>
    <cellStyle name="Comma 2" xfId="71"/>
    <cellStyle name="Comma 3" xfId="72"/>
    <cellStyle name="Comma 4" xfId="73"/>
    <cellStyle name="Comma 5" xfId="74"/>
    <cellStyle name="Comma 6"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2 6" xfId="102"/>
    <cellStyle name="Normal 3" xfId="103"/>
    <cellStyle name="Normal 4" xfId="104"/>
    <cellStyle name="Note" xfId="105"/>
    <cellStyle name="Note 2" xfId="106"/>
    <cellStyle name="Output" xfId="107"/>
    <cellStyle name="Output 2" xfId="108"/>
    <cellStyle name="Percent" xfId="109"/>
    <cellStyle name="Percent 2" xfId="110"/>
    <cellStyle name="Percent 3" xfId="111"/>
    <cellStyle name="Title" xfId="112"/>
    <cellStyle name="Total" xfId="113"/>
    <cellStyle name="Total 2" xfId="114"/>
    <cellStyle name="Warning Text" xfId="115"/>
    <cellStyle name="Warning Text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2400300</xdr:colOff>
      <xdr:row>3</xdr:row>
      <xdr:rowOff>790575</xdr:rowOff>
    </xdr:from>
    <xdr:to>
      <xdr:col>3</xdr:col>
      <xdr:colOff>28575</xdr:colOff>
      <xdr:row>3</xdr:row>
      <xdr:rowOff>790575</xdr:rowOff>
    </xdr:to>
    <xdr:sp>
      <xdr:nvSpPr>
        <xdr:cNvPr id="1" name="Straight Connector 1"/>
        <xdr:cNvSpPr>
          <a:spLocks/>
        </xdr:cNvSpPr>
      </xdr:nvSpPr>
      <xdr:spPr>
        <a:xfrm>
          <a:off x="3000375" y="1428750"/>
          <a:ext cx="3009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1524000</xdr:colOff>
      <xdr:row>2</xdr:row>
      <xdr:rowOff>171450</xdr:rowOff>
    </xdr:from>
    <xdr:to>
      <xdr:col>3</xdr:col>
      <xdr:colOff>962025</xdr:colOff>
      <xdr:row>2</xdr:row>
      <xdr:rowOff>171450</xdr:rowOff>
    </xdr:to>
    <xdr:sp>
      <xdr:nvSpPr>
        <xdr:cNvPr id="2" name="Straight Connector 2"/>
        <xdr:cNvSpPr>
          <a:spLocks/>
        </xdr:cNvSpPr>
      </xdr:nvSpPr>
      <xdr:spPr>
        <a:xfrm>
          <a:off x="5905500" y="628650"/>
          <a:ext cx="1038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161925</xdr:colOff>
      <xdr:row>2</xdr:row>
      <xdr:rowOff>171450</xdr:rowOff>
    </xdr:from>
    <xdr:to>
      <xdr:col>1</xdr:col>
      <xdr:colOff>695325</xdr:colOff>
      <xdr:row>2</xdr:row>
      <xdr:rowOff>171450</xdr:rowOff>
    </xdr:to>
    <xdr:sp>
      <xdr:nvSpPr>
        <xdr:cNvPr id="3" name="Straight Connector 3"/>
        <xdr:cNvSpPr>
          <a:spLocks/>
        </xdr:cNvSpPr>
      </xdr:nvSpPr>
      <xdr:spPr>
        <a:xfrm>
          <a:off x="161925" y="628650"/>
          <a:ext cx="1133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7.100.251\public\Users\user\AppData\Local\Temp\Rar$DI04.617\Kinh%20phi%20GDBD%20hoan%20chinh%202802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7.100.251\public\HDD_E_CHIHA\Chi%20Ha_O%20E\HA-HCTH\Nam%202020\DE%20AN%20PHI%202020\3%20%20PHI%20GDBD%2004-9-2017-%207h10\NOI%20DUNG%20DE%20AN%20-NGHI%20QUYET-%20QD%20trien%20khai\THUCHI01NAM-MUCTHUDENGHI-18-5-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7.100.251\public\Users\user\AppData\Local\Temp\Rar$DI04.617\Kinh%20phi%20GDBD%20sua%20lai%20%20Tan%200903202016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7.100.251\public\HDD_E_CHIHA\Chi%20Ha_O%20E\HA-HCTH\Nam%202020\DE%20AN%20PHI%202020\NOI%20DUNG%20DE%20AN%20-NGHI%20QUYET-QD%20TRIEN%20KHAI\DE%20AN%20PHI%20THAM%20DINH\De%20an%20phi%20TDCG%20%20ngay%2030032020\2.%20Du%20toan%20thu%20chi%20TDCG%201404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7.100.251\public\HDD_E_CHIHA\Chi%20Ha_O%20E\HA-HCTH\Nam%202020\DE%20AN%20PHI%202020\NOI%20DUNG%20DE%20AN%20-NGHI%20QUYET-QD%20TRIEN%20KHAI\DE%20AN%20PHI%20THAM%20DINH\De%20an%20phi%20TDCG%20%20ngay%2030032020\TONG%20HOP%20LUONG%202020%20ngay%201203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DA%20TA\So%20lieu%202001\Cap%20sup%202001\Du%20toan\MAU%20BC%20THAM%20DINH%20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20Muc%20thu%20phi%20GDBD%20120320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INHGIA%2001GIAY01THUA%201203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thu phi"/>
      <sheetName val="KHOI LUONG 2020 (2)"/>
      <sheetName val="Khoi luong cuoi cung"/>
      <sheetName val="thietbidk"/>
      <sheetName val="ccdcdk"/>
      <sheetName val="vtdk"/>
      <sheetName val="TH kinh phi Ke hoach"/>
      <sheetName val="DONGIACHITIET"/>
      <sheetName val="LUONG NGAY"/>
    </sheetNames>
    <sheetDataSet>
      <sheetData sheetId="7">
        <row r="9">
          <cell r="M9">
            <v>6068.819076923077</v>
          </cell>
          <cell r="N9">
            <v>7444.035924852071</v>
          </cell>
          <cell r="O9">
            <v>5119.902092307693</v>
          </cell>
          <cell r="P9">
            <v>8108.495446153847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ảtinh"/>
      <sheetName val="PL1-Captinh"/>
      <sheetName val="PL1-Caphuyen"/>
    </sheetNames>
    <sheetDataSet>
      <sheetData sheetId="1">
        <row r="17">
          <cell r="D17">
            <v>0</v>
          </cell>
        </row>
      </sheetData>
      <sheetData sheetId="2">
        <row r="17">
          <cell r="D17">
            <v>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hoi luong Diep"/>
      <sheetName val="so thu phi"/>
      <sheetName val="KHOI LUONG 2020 (2)"/>
      <sheetName val="Khoi luong cuoi cung"/>
      <sheetName val="thietbidk"/>
      <sheetName val="ccdcdk"/>
      <sheetName val="vtdk"/>
      <sheetName val="TH kinh phi Ke hoach"/>
      <sheetName val="DONGIACHITIET"/>
      <sheetName val="LUONG NGAY"/>
    </sheetNames>
    <sheetDataSet>
      <sheetData sheetId="7">
        <row r="7">
          <cell r="D7">
            <v>92</v>
          </cell>
        </row>
        <row r="8">
          <cell r="D8">
            <v>58</v>
          </cell>
        </row>
        <row r="9">
          <cell r="D9">
            <v>39</v>
          </cell>
        </row>
        <row r="10">
          <cell r="D10">
            <v>50</v>
          </cell>
        </row>
        <row r="12">
          <cell r="D12">
            <v>98</v>
          </cell>
        </row>
        <row r="13">
          <cell r="D13">
            <v>62</v>
          </cell>
        </row>
        <row r="14">
          <cell r="D14">
            <v>42</v>
          </cell>
        </row>
        <row r="17">
          <cell r="D17">
            <v>33402</v>
          </cell>
        </row>
        <row r="18">
          <cell r="D18">
            <v>100</v>
          </cell>
        </row>
        <row r="19">
          <cell r="D19">
            <v>2137</v>
          </cell>
        </row>
        <row r="20">
          <cell r="D20">
            <v>3003</v>
          </cell>
        </row>
        <row r="22">
          <cell r="D22">
            <v>25912</v>
          </cell>
        </row>
        <row r="23">
          <cell r="D23">
            <v>77</v>
          </cell>
        </row>
        <row r="24">
          <cell r="D24">
            <v>1659</v>
          </cell>
        </row>
      </sheetData>
      <sheetData sheetId="8">
        <row r="9">
          <cell r="M9">
            <v>6068.819076923077</v>
          </cell>
          <cell r="N9">
            <v>7444.035924852071</v>
          </cell>
          <cell r="O9">
            <v>5119.902092307693</v>
          </cell>
          <cell r="P9">
            <v>8108.495446153847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UPHITđCqsdd"/>
      <sheetName val="TH-boDDva CT khac"/>
      <sheetName val="bIEU THU HO GDCN PL 02"/>
      <sheetName val="bIEU THU TO CHUC PL 01"/>
      <sheetName val="bang tinh muc thu "/>
      <sheetName val="Du toan chi"/>
      <sheetName val="Du toan thu"/>
    </sheetNames>
    <sheetDataSet>
      <sheetData sheetId="6">
        <row r="27">
          <cell r="H27">
            <v>2120994000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0"/>
      <sheetName val="10000000"/>
      <sheetName val="XL"/>
      <sheetName val="LT"/>
      <sheetName val="VC"/>
      <sheetName val="TB"/>
      <sheetName val="TN"/>
      <sheetName val="BH"/>
      <sheetName val="NT"/>
      <sheetName val="CM"/>
      <sheetName val="LK"/>
      <sheetName val="DQ"/>
      <sheetName val="TP"/>
      <sheetName val="VP"/>
      <sheetName val="phi KT"/>
      <sheetName val="TH-boDDva CT khac"/>
      <sheetName val="TH"/>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vert Font"/>
      <sheetName val="So_Chu"/>
      <sheetName val="Module1"/>
      <sheetName val="Module2"/>
      <sheetName val="Thop VT DM XTAN"/>
      <sheetName val="Thop VT DM TTam"/>
      <sheetName val="Thop VT DM Bvinh"/>
      <sheetName val="Hoan von"/>
      <sheetName val="Tong hop"/>
      <sheetName val="DIEN GIAI"/>
      <sheetName val="DG chi tiet"/>
      <sheetName val="DG Tong hop"/>
      <sheetName val="Vtu theo DM"/>
      <sheetName val="CP cap"/>
      <sheetName val="Vtu khong co DM"/>
      <sheetName val="Van chuyen"/>
      <sheetName val="Khao sat"/>
      <sheetName val="hv"/>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Diep"/>
      <sheetName val="so thu phi"/>
      <sheetName val="KHOI LUONG 2020 (2)"/>
      <sheetName val="Khoi luong cuoi cung"/>
      <sheetName val="thietbidk"/>
      <sheetName val="ccdcdk"/>
      <sheetName val="vtdk"/>
      <sheetName val="MUC THUCHITIET "/>
      <sheetName val="THAMDINHGIA"/>
      <sheetName val="DONGIACHITIET"/>
      <sheetName val="LUONG NGAY"/>
    </sheetNames>
    <sheetDataSet>
      <sheetData sheetId="7">
        <row r="8">
          <cell r="K8">
            <v>448289.08560000005</v>
          </cell>
          <cell r="L8">
            <v>7675.888984615386</v>
          </cell>
          <cell r="M8">
            <v>8622.892406360948</v>
          </cell>
          <cell r="N8">
            <v>4609.690615384616</v>
          </cell>
          <cell r="O8">
            <v>7856.5584461538465</v>
          </cell>
          <cell r="T8">
            <v>550000</v>
          </cell>
        </row>
        <row r="23">
          <cell r="K23">
            <v>440457.53184000007</v>
          </cell>
          <cell r="L23">
            <v>7675.888984615386</v>
          </cell>
          <cell r="M23">
            <v>8622.892406360948</v>
          </cell>
          <cell r="N23">
            <v>4609.690615384616</v>
          </cell>
          <cell r="O23">
            <v>7856.5584461538465</v>
          </cell>
          <cell r="T23">
            <v>540000</v>
          </cell>
        </row>
        <row r="38">
          <cell r="K38">
            <v>575840.79</v>
          </cell>
          <cell r="L38">
            <v>7675.888984615386</v>
          </cell>
          <cell r="M38">
            <v>11209.760128269234</v>
          </cell>
          <cell r="N38">
            <v>5992.5978000000005</v>
          </cell>
          <cell r="O38">
            <v>10213.52598</v>
          </cell>
          <cell r="T38">
            <v>700000</v>
          </cell>
        </row>
        <row r="53">
          <cell r="K53">
            <v>440457.53184000007</v>
          </cell>
          <cell r="L53">
            <v>7675.888984615386</v>
          </cell>
          <cell r="M53">
            <v>8622.892406360948</v>
          </cell>
          <cell r="N53">
            <v>4609.690615384616</v>
          </cell>
          <cell r="O53">
            <v>7856.5584461538465</v>
          </cell>
          <cell r="T53">
            <v>540000</v>
          </cell>
        </row>
        <row r="54">
          <cell r="K54">
            <v>575840.79</v>
          </cell>
          <cell r="L54">
            <v>7675.888984615386</v>
          </cell>
          <cell r="M54">
            <v>11209.760128269234</v>
          </cell>
          <cell r="N54">
            <v>5992.5978000000005</v>
          </cell>
          <cell r="O54">
            <v>10213.52598</v>
          </cell>
          <cell r="T54">
            <v>700000</v>
          </cell>
        </row>
        <row r="55">
          <cell r="K55">
            <v>575840.79</v>
          </cell>
          <cell r="L55">
            <v>7675.888984615386</v>
          </cell>
          <cell r="M55">
            <v>11209.760128269234</v>
          </cell>
          <cell r="N55">
            <v>5992.5978000000005</v>
          </cell>
          <cell r="O55">
            <v>10213.52598</v>
          </cell>
          <cell r="T55">
            <v>700000</v>
          </cell>
        </row>
        <row r="57">
          <cell r="K57">
            <v>448289.08560000005</v>
          </cell>
          <cell r="L57">
            <v>7675.888984615386</v>
          </cell>
          <cell r="M57">
            <v>8622.892406360948</v>
          </cell>
          <cell r="N57">
            <v>4609.690615384616</v>
          </cell>
          <cell r="O57">
            <v>7856.5584461538465</v>
          </cell>
        </row>
        <row r="58">
          <cell r="K58">
            <v>440457.53184000007</v>
          </cell>
          <cell r="L58">
            <v>7675.888984615386</v>
          </cell>
          <cell r="M58">
            <v>8622.892406360948</v>
          </cell>
          <cell r="N58">
            <v>4609.690615384616</v>
          </cell>
          <cell r="O58">
            <v>7856.5584461538465</v>
          </cell>
        </row>
        <row r="59">
          <cell r="K59">
            <v>575840.79</v>
          </cell>
          <cell r="L59">
            <v>7675.888984615386</v>
          </cell>
          <cell r="M59">
            <v>11209.760128269234</v>
          </cell>
          <cell r="N59">
            <v>5992.5978000000005</v>
          </cell>
          <cell r="O59">
            <v>10213.52598</v>
          </cell>
        </row>
        <row r="61">
          <cell r="K61">
            <v>399569.5576800001</v>
          </cell>
          <cell r="L61">
            <v>7675.888984615386</v>
          </cell>
          <cell r="M61">
            <v>8622.892406360948</v>
          </cell>
          <cell r="N61">
            <v>4609.690615384616</v>
          </cell>
          <cell r="O61">
            <v>7856.5584461538465</v>
          </cell>
          <cell r="T61">
            <v>490000</v>
          </cell>
        </row>
        <row r="73">
          <cell r="K73">
            <v>390617.6119200001</v>
          </cell>
          <cell r="L73">
            <v>7675.888984615386</v>
          </cell>
          <cell r="M73">
            <v>8622.892406360948</v>
          </cell>
          <cell r="N73">
            <v>4609.690615384616</v>
          </cell>
          <cell r="O73">
            <v>7856.5584461538465</v>
          </cell>
          <cell r="T73">
            <v>480000</v>
          </cell>
        </row>
        <row r="85">
          <cell r="K85">
            <v>519342.13008000003</v>
          </cell>
          <cell r="L85">
            <v>7675.888984615386</v>
          </cell>
          <cell r="M85">
            <v>11209.760128269234</v>
          </cell>
          <cell r="N85">
            <v>5992.5978000000005</v>
          </cell>
          <cell r="O85">
            <v>10213.52598</v>
          </cell>
          <cell r="T85">
            <v>640000</v>
          </cell>
        </row>
        <row r="98">
          <cell r="K98">
            <v>448289.08560000005</v>
          </cell>
          <cell r="L98">
            <v>7675.888984615386</v>
          </cell>
          <cell r="M98">
            <v>8622.892406360948</v>
          </cell>
          <cell r="N98">
            <v>4609.690615384616</v>
          </cell>
          <cell r="O98">
            <v>7856.5584461538465</v>
          </cell>
          <cell r="T98">
            <v>550000</v>
          </cell>
        </row>
        <row r="113">
          <cell r="K113">
            <v>440457.53184000007</v>
          </cell>
          <cell r="L113">
            <v>7675.888984615386</v>
          </cell>
          <cell r="M113">
            <v>8622.892406360948</v>
          </cell>
          <cell r="N113">
            <v>4609.690615384616</v>
          </cell>
          <cell r="O113">
            <v>7856.5584461538465</v>
          </cell>
          <cell r="T113">
            <v>540000</v>
          </cell>
        </row>
        <row r="128">
          <cell r="K128">
            <v>575840.79</v>
          </cell>
          <cell r="L128">
            <v>7675.888984615386</v>
          </cell>
          <cell r="M128">
            <v>11209.760128269234</v>
          </cell>
          <cell r="N128">
            <v>5992.5978000000005</v>
          </cell>
          <cell r="O128">
            <v>10213.52598</v>
          </cell>
          <cell r="T128">
            <v>700000</v>
          </cell>
        </row>
        <row r="144">
          <cell r="K144">
            <v>205911.42840000003</v>
          </cell>
          <cell r="L144">
            <v>8462.919876923077</v>
          </cell>
          <cell r="M144">
            <v>5940.4501143491125</v>
          </cell>
          <cell r="N144">
            <v>3301.6083692307693</v>
          </cell>
          <cell r="O144">
            <v>5402.734615384616</v>
          </cell>
          <cell r="T144">
            <v>260000</v>
          </cell>
        </row>
        <row r="159">
          <cell r="K159">
            <v>244388.95236000005</v>
          </cell>
          <cell r="L159">
            <v>8462.919876923077</v>
          </cell>
          <cell r="M159">
            <v>5940.4501143491125</v>
          </cell>
          <cell r="N159">
            <v>3301.6083692307693</v>
          </cell>
          <cell r="O159">
            <v>5402.734615384616</v>
          </cell>
          <cell r="T159">
            <v>310000</v>
          </cell>
        </row>
        <row r="174">
          <cell r="K174">
            <v>306045.5400000001</v>
          </cell>
          <cell r="L174">
            <v>8462.919876923077</v>
          </cell>
          <cell r="M174">
            <v>7722.585148653847</v>
          </cell>
          <cell r="N174">
            <v>4292.09088</v>
          </cell>
          <cell r="O174">
            <v>7023.555</v>
          </cell>
          <cell r="T174">
            <v>380000</v>
          </cell>
        </row>
        <row r="189">
          <cell r="K189">
            <v>244388.95236000005</v>
          </cell>
          <cell r="L189">
            <v>8462.919876923077</v>
          </cell>
          <cell r="M189">
            <v>5940.4501143491125</v>
          </cell>
          <cell r="N189">
            <v>3301.6083692307693</v>
          </cell>
          <cell r="O189">
            <v>5402.734615384616</v>
          </cell>
          <cell r="T189">
            <v>310000</v>
          </cell>
        </row>
        <row r="190">
          <cell r="K190">
            <v>306045.5400000001</v>
          </cell>
          <cell r="L190">
            <v>8462.919876923077</v>
          </cell>
          <cell r="M190">
            <v>7722.585148653847</v>
          </cell>
          <cell r="N190">
            <v>4292.09088</v>
          </cell>
          <cell r="O190">
            <v>7023.555</v>
          </cell>
          <cell r="T190">
            <v>380000</v>
          </cell>
        </row>
        <row r="191">
          <cell r="K191">
            <v>306045.5400000001</v>
          </cell>
          <cell r="L191">
            <v>8462.919876923077</v>
          </cell>
          <cell r="M191">
            <v>7722.585148653847</v>
          </cell>
          <cell r="N191">
            <v>4292.09088</v>
          </cell>
          <cell r="O191">
            <v>7023.555</v>
          </cell>
          <cell r="T191">
            <v>380000</v>
          </cell>
        </row>
        <row r="193">
          <cell r="K193">
            <v>205911.42840000003</v>
          </cell>
          <cell r="L193">
            <v>8462.919876923077</v>
          </cell>
          <cell r="M193">
            <v>5940.4501143491125</v>
          </cell>
          <cell r="N193">
            <v>3301.6083692307693</v>
          </cell>
          <cell r="O193">
            <v>5402.734615384616</v>
          </cell>
        </row>
        <row r="194">
          <cell r="K194">
            <v>244388.95236000005</v>
          </cell>
          <cell r="L194">
            <v>8462.919876923077</v>
          </cell>
          <cell r="M194">
            <v>5940.4501143491125</v>
          </cell>
          <cell r="N194">
            <v>3301.6083692307693</v>
          </cell>
          <cell r="O194">
            <v>5402.734615384616</v>
          </cell>
        </row>
        <row r="195">
          <cell r="K195">
            <v>306045.5400000001</v>
          </cell>
          <cell r="L195">
            <v>8462.919876923077</v>
          </cell>
          <cell r="M195">
            <v>7722.585148653847</v>
          </cell>
          <cell r="N195">
            <v>4292.09088</v>
          </cell>
          <cell r="O195">
            <v>7023.555</v>
          </cell>
        </row>
        <row r="197">
          <cell r="K197">
            <v>165702.56021999998</v>
          </cell>
          <cell r="L197">
            <v>8462.919876923077</v>
          </cell>
          <cell r="M197">
            <v>5940.4501143491125</v>
          </cell>
          <cell r="N197">
            <v>3301.6083692307693</v>
          </cell>
          <cell r="O197">
            <v>5402.734615384616</v>
          </cell>
          <cell r="T197">
            <v>220000</v>
          </cell>
        </row>
        <row r="209">
          <cell r="K209">
            <v>204180.08418</v>
          </cell>
          <cell r="L209">
            <v>8462.919876923077</v>
          </cell>
          <cell r="M209">
            <v>5940.4501143491125</v>
          </cell>
          <cell r="N209">
            <v>3301.6083692307693</v>
          </cell>
          <cell r="O209">
            <v>5402.734615384616</v>
          </cell>
          <cell r="T209">
            <v>260000</v>
          </cell>
        </row>
        <row r="221">
          <cell r="K221">
            <v>260634.85182</v>
          </cell>
          <cell r="L221">
            <v>8462.919876923077</v>
          </cell>
          <cell r="M221">
            <v>7722.585148653847</v>
          </cell>
          <cell r="N221">
            <v>4292.09088</v>
          </cell>
          <cell r="O221">
            <v>7023.555</v>
          </cell>
          <cell r="T221">
            <v>330000</v>
          </cell>
        </row>
        <row r="234">
          <cell r="K234">
            <v>205911.42840000003</v>
          </cell>
          <cell r="L234">
            <v>8462.919876923077</v>
          </cell>
          <cell r="M234">
            <v>5940.4501143491125</v>
          </cell>
          <cell r="N234">
            <v>3301.6083692307693</v>
          </cell>
          <cell r="O234">
            <v>5402.734615384616</v>
          </cell>
          <cell r="T234">
            <v>260000</v>
          </cell>
        </row>
        <row r="249">
          <cell r="K249">
            <v>245781.8397</v>
          </cell>
          <cell r="L249">
            <v>8462.919876923077</v>
          </cell>
          <cell r="M249">
            <v>5940.4501143491125</v>
          </cell>
          <cell r="N249">
            <v>3301.6083692307693</v>
          </cell>
          <cell r="O249">
            <v>5402.734615384616</v>
          </cell>
        </row>
        <row r="250">
          <cell r="T250">
            <v>310000</v>
          </cell>
        </row>
        <row r="264">
          <cell r="K264">
            <v>306725.778</v>
          </cell>
          <cell r="L264">
            <v>8462.919876923077</v>
          </cell>
          <cell r="M264">
            <v>7722.585148653847</v>
          </cell>
          <cell r="N264">
            <v>4292.09088</v>
          </cell>
          <cell r="O264">
            <v>7023.555</v>
          </cell>
          <cell r="T264">
            <v>380000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hua"/>
      <sheetName val="giay"/>
      <sheetName val="LUONG NGAY"/>
    </sheetNames>
    <sheetDataSet>
      <sheetData sheetId="0">
        <row r="10">
          <cell r="K10">
            <v>22657.5</v>
          </cell>
          <cell r="M10">
            <v>7675.888984615386</v>
          </cell>
          <cell r="N10">
            <v>8622.892406360948</v>
          </cell>
          <cell r="O10">
            <v>4609.690615384616</v>
          </cell>
          <cell r="P10">
            <v>2027</v>
          </cell>
        </row>
        <row r="20">
          <cell r="K20">
            <v>22657.5</v>
          </cell>
          <cell r="M20">
            <v>7675.888984615386</v>
          </cell>
          <cell r="N20">
            <v>8622.892406360948</v>
          </cell>
          <cell r="O20">
            <v>4609.690615384616</v>
          </cell>
          <cell r="P20">
            <v>2027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86"/>
  <sheetViews>
    <sheetView zoomScalePageLayoutView="0" workbookViewId="0" topLeftCell="A2">
      <selection activeCell="H52" sqref="H52"/>
    </sheetView>
  </sheetViews>
  <sheetFormatPr defaultColWidth="8.88671875" defaultRowHeight="18.75"/>
  <cols>
    <col min="1" max="1" width="7.5546875" style="248" customWidth="1"/>
    <col min="2" max="2" width="39.3359375" style="249" customWidth="1"/>
    <col min="3" max="3" width="17.21484375" style="211" customWidth="1"/>
    <col min="4" max="4" width="7.5546875" style="211" customWidth="1"/>
    <col min="5" max="5" width="15.10546875" style="212" bestFit="1" customWidth="1"/>
    <col min="6" max="6" width="12.4453125" style="212" bestFit="1" customWidth="1"/>
    <col min="7" max="7" width="12.4453125" style="213" bestFit="1" customWidth="1"/>
    <col min="8" max="8" width="12.3359375" style="213" bestFit="1" customWidth="1"/>
    <col min="9" max="9" width="12.4453125" style="213" bestFit="1" customWidth="1"/>
    <col min="10" max="10" width="15.10546875" style="213" customWidth="1"/>
    <col min="11" max="11" width="13.88671875" style="213" hidden="1" customWidth="1"/>
    <col min="12" max="12" width="14.99609375" style="213" hidden="1" customWidth="1"/>
    <col min="13" max="13" width="6.3359375" style="213" customWidth="1"/>
    <col min="14" max="14" width="15.21484375" style="213" customWidth="1"/>
    <col min="15" max="16384" width="8.88671875" style="213" customWidth="1"/>
  </cols>
  <sheetData>
    <row r="1" spans="1:13" ht="21" customHeight="1">
      <c r="A1" s="381"/>
      <c r="B1" s="382"/>
      <c r="I1" s="391" t="s">
        <v>264</v>
      </c>
      <c r="J1" s="391"/>
      <c r="K1" s="391"/>
      <c r="L1" s="391"/>
      <c r="M1" s="391"/>
    </row>
    <row r="2" spans="1:13" ht="39.75" customHeight="1">
      <c r="A2" s="390" t="s">
        <v>274</v>
      </c>
      <c r="B2" s="390"/>
      <c r="C2" s="390"/>
      <c r="D2" s="390"/>
      <c r="E2" s="390"/>
      <c r="F2" s="390"/>
      <c r="G2" s="390"/>
      <c r="H2" s="390"/>
      <c r="I2" s="390"/>
      <c r="J2" s="390"/>
      <c r="K2" s="390"/>
      <c r="L2" s="390"/>
      <c r="M2" s="390"/>
    </row>
    <row r="3" spans="1:7" ht="30.75" customHeight="1">
      <c r="A3" s="214" t="s">
        <v>273</v>
      </c>
      <c r="B3" s="215"/>
      <c r="C3" s="216"/>
      <c r="D3" s="216"/>
      <c r="E3" s="217"/>
      <c r="F3" s="217"/>
      <c r="G3" s="218"/>
    </row>
    <row r="4" spans="1:13" s="218" customFormat="1" ht="35.25" customHeight="1">
      <c r="A4" s="383" t="s">
        <v>0</v>
      </c>
      <c r="B4" s="383" t="s">
        <v>229</v>
      </c>
      <c r="C4" s="385" t="s">
        <v>4</v>
      </c>
      <c r="D4" s="385" t="s">
        <v>200</v>
      </c>
      <c r="E4" s="387" t="s">
        <v>230</v>
      </c>
      <c r="F4" s="388"/>
      <c r="G4" s="388"/>
      <c r="H4" s="388"/>
      <c r="I4" s="388"/>
      <c r="J4" s="389"/>
      <c r="K4" s="392" t="s">
        <v>231</v>
      </c>
      <c r="L4" s="392" t="s">
        <v>232</v>
      </c>
      <c r="M4" s="392" t="s">
        <v>1</v>
      </c>
    </row>
    <row r="5" spans="1:13" s="273" customFormat="1" ht="41.25" customHeight="1">
      <c r="A5" s="384"/>
      <c r="B5" s="384"/>
      <c r="C5" s="386"/>
      <c r="D5" s="386"/>
      <c r="E5" s="291" t="s">
        <v>208</v>
      </c>
      <c r="F5" s="291" t="s">
        <v>233</v>
      </c>
      <c r="G5" s="292" t="s">
        <v>234</v>
      </c>
      <c r="H5" s="292" t="s">
        <v>235</v>
      </c>
      <c r="I5" s="292" t="s">
        <v>212</v>
      </c>
      <c r="J5" s="293" t="s">
        <v>6</v>
      </c>
      <c r="K5" s="393"/>
      <c r="L5" s="393"/>
      <c r="M5" s="393"/>
    </row>
    <row r="6" spans="1:13" s="219" customFormat="1" ht="30.75" customHeight="1">
      <c r="A6" s="220"/>
      <c r="B6" s="221" t="s">
        <v>236</v>
      </c>
      <c r="C6" s="222"/>
      <c r="D6" s="222"/>
      <c r="E6" s="223"/>
      <c r="F6" s="224"/>
      <c r="G6" s="225"/>
      <c r="H6" s="225"/>
      <c r="I6" s="225"/>
      <c r="J6" s="226"/>
      <c r="K6" s="226"/>
      <c r="L6" s="226"/>
      <c r="M6" s="226"/>
    </row>
    <row r="7" spans="1:13" s="273" customFormat="1" ht="30.75" customHeight="1">
      <c r="A7" s="227" t="s">
        <v>126</v>
      </c>
      <c r="B7" s="228" t="s">
        <v>237</v>
      </c>
      <c r="C7" s="229"/>
      <c r="D7" s="284">
        <f aca="true" t="shared" si="0" ref="D7:L7">D8+D28</f>
        <v>72665</v>
      </c>
      <c r="E7" s="284">
        <f t="shared" si="0"/>
        <v>13969462116.79674</v>
      </c>
      <c r="F7" s="284">
        <f t="shared" si="0"/>
        <v>603958529.1057233</v>
      </c>
      <c r="G7" s="284">
        <f t="shared" si="0"/>
        <v>482903327.7859412</v>
      </c>
      <c r="H7" s="284">
        <f t="shared" si="0"/>
        <v>265826343.34988317</v>
      </c>
      <c r="I7" s="284">
        <f t="shared" si="0"/>
        <v>364772745.03451705</v>
      </c>
      <c r="J7" s="284">
        <f t="shared" si="0"/>
        <v>15686923062.072807</v>
      </c>
      <c r="K7" s="229">
        <f t="shared" si="0"/>
        <v>1215431812.269078</v>
      </c>
      <c r="L7" s="229">
        <f t="shared" si="0"/>
        <v>9318310560.729597</v>
      </c>
      <c r="M7" s="272"/>
    </row>
    <row r="8" spans="1:14" s="273" customFormat="1" ht="39.75" customHeight="1">
      <c r="A8" s="274" t="s">
        <v>136</v>
      </c>
      <c r="B8" s="270" t="s">
        <v>138</v>
      </c>
      <c r="C8" s="274"/>
      <c r="D8" s="285">
        <f aca="true" t="shared" si="1" ref="D8:J8">SUM(D9:D27)</f>
        <v>10976</v>
      </c>
      <c r="E8" s="285">
        <f t="shared" si="1"/>
        <v>765780306.82272</v>
      </c>
      <c r="F8" s="285">
        <f t="shared" si="1"/>
        <v>84250557.49513848</v>
      </c>
      <c r="G8" s="285">
        <f t="shared" si="1"/>
        <v>95079460.82949835</v>
      </c>
      <c r="H8" s="285">
        <f t="shared" si="1"/>
        <v>50828292.60147693</v>
      </c>
      <c r="I8" s="285">
        <f t="shared" si="1"/>
        <v>29499883.27836308</v>
      </c>
      <c r="J8" s="285">
        <f t="shared" si="1"/>
        <v>1025438501.027197</v>
      </c>
      <c r="K8" s="276">
        <f>SUM(K9:K26)</f>
        <v>48375224.4341063</v>
      </c>
      <c r="L8" s="276">
        <f>SUM(L9:L26)</f>
        <v>370876720.6614816</v>
      </c>
      <c r="M8" s="275"/>
      <c r="N8" s="230">
        <f>'[4]Du toan thu'!H27</f>
        <v>2120994000</v>
      </c>
    </row>
    <row r="9" spans="1:14" s="273" customFormat="1" ht="39" customHeight="1">
      <c r="A9" s="257">
        <v>1</v>
      </c>
      <c r="B9" s="258" t="s">
        <v>192</v>
      </c>
      <c r="C9" s="191" t="s">
        <v>137</v>
      </c>
      <c r="D9" s="286">
        <f>'Du toanthu chi'!E6</f>
        <v>245</v>
      </c>
      <c r="E9" s="287">
        <f>$D$9*'[7]MUC THUCHITIET '!K8</f>
        <v>109830825.97200002</v>
      </c>
      <c r="F9" s="287">
        <f>$D$9*'[7]MUC THUCHITIET '!L8</f>
        <v>1880592.8012307696</v>
      </c>
      <c r="G9" s="287">
        <f>$D$9*'[7]MUC THUCHITIET '!M8</f>
        <v>2112608.639558432</v>
      </c>
      <c r="H9" s="287">
        <f>$D$9*'[7]MUC THUCHITIET '!N8</f>
        <v>1129374.200769231</v>
      </c>
      <c r="I9" s="287">
        <f>$D$9*'[7]MUC THUCHITIET '!O8</f>
        <v>1924856.8193076923</v>
      </c>
      <c r="J9" s="284">
        <f>SUM(E9:I9)</f>
        <v>116878258.43286616</v>
      </c>
      <c r="K9" s="232">
        <f>J9*15%</f>
        <v>17531738.764929924</v>
      </c>
      <c r="L9" s="231">
        <f>K9+J9</f>
        <v>134409997.19779608</v>
      </c>
      <c r="M9" s="232"/>
      <c r="N9" s="277"/>
    </row>
    <row r="10" spans="1:13" s="218" customFormat="1" ht="38.25" customHeight="1">
      <c r="A10" s="257">
        <f aca="true" t="shared" si="2" ref="A10:A15">A9+1</f>
        <v>2</v>
      </c>
      <c r="B10" s="258" t="s">
        <v>193</v>
      </c>
      <c r="C10" s="191" t="s">
        <v>137</v>
      </c>
      <c r="D10" s="286">
        <f>'Du toanthu chi'!E7</f>
        <v>145</v>
      </c>
      <c r="E10" s="287">
        <f>$D$10*'[7]MUC THUCHITIET '!K23</f>
        <v>63866342.11680001</v>
      </c>
      <c r="F10" s="287">
        <f>$D$10*'[7]MUC THUCHITIET '!L23</f>
        <v>1113003.902769231</v>
      </c>
      <c r="G10" s="287">
        <f>$D$10*'[7]MUC THUCHITIET '!M23</f>
        <v>1250319.3989223375</v>
      </c>
      <c r="H10" s="287">
        <f>$D$10*'[7]MUC THUCHITIET '!N23</f>
        <v>668405.1392307692</v>
      </c>
      <c r="I10" s="287">
        <f>$D$10*'[7]MUC THUCHITIET '!O23</f>
        <v>1139200.9746923076</v>
      </c>
      <c r="J10" s="284">
        <f aca="true" t="shared" si="3" ref="J10:J27">SUM(E10:I10)</f>
        <v>68037271.53241466</v>
      </c>
      <c r="K10" s="232">
        <f aca="true" t="shared" si="4" ref="K10:K35">J10*15%</f>
        <v>10205590.729862198</v>
      </c>
      <c r="L10" s="231">
        <f aca="true" t="shared" si="5" ref="L10:L35">K10+J10</f>
        <v>78242862.26227686</v>
      </c>
      <c r="M10" s="232"/>
    </row>
    <row r="11" spans="1:13" s="218" customFormat="1" ht="44.25" customHeight="1">
      <c r="A11" s="257">
        <f t="shared" si="2"/>
        <v>3</v>
      </c>
      <c r="B11" s="258" t="s">
        <v>194</v>
      </c>
      <c r="C11" s="191" t="s">
        <v>137</v>
      </c>
      <c r="D11" s="286">
        <f>'Du toanthu chi'!E8</f>
        <v>95</v>
      </c>
      <c r="E11" s="287">
        <f>$D$11*'[7]MUC THUCHITIET '!K38</f>
        <v>54704875.050000004</v>
      </c>
      <c r="F11" s="287">
        <f>$D$11*'[7]MUC THUCHITIET '!L38</f>
        <v>729209.4535384617</v>
      </c>
      <c r="G11" s="287">
        <f>$D$11*'[7]MUC THUCHITIET '!M38</f>
        <v>1064927.2121855773</v>
      </c>
      <c r="H11" s="287">
        <f>$D$11*'[7]MUC THUCHITIET '!N38</f>
        <v>569296.7910000001</v>
      </c>
      <c r="I11" s="287">
        <f>$D$11*'[7]MUC THUCHITIET '!O38</f>
        <v>970284.9681</v>
      </c>
      <c r="J11" s="284">
        <f t="shared" si="3"/>
        <v>58038593.47482404</v>
      </c>
      <c r="K11" s="232">
        <f t="shared" si="4"/>
        <v>8705789.021223607</v>
      </c>
      <c r="L11" s="231">
        <f t="shared" si="5"/>
        <v>66744382.496047646</v>
      </c>
      <c r="M11" s="232"/>
    </row>
    <row r="12" spans="1:13" s="218" customFormat="1" ht="44.25" customHeight="1">
      <c r="A12" s="257">
        <f t="shared" si="2"/>
        <v>4</v>
      </c>
      <c r="B12" s="258" t="s">
        <v>255</v>
      </c>
      <c r="C12" s="191" t="s">
        <v>137</v>
      </c>
      <c r="D12" s="286">
        <f>'Du toanthu chi'!E9</f>
        <v>150</v>
      </c>
      <c r="E12" s="287">
        <f>$D$12*'[7]MUC THUCHITIET '!K53</f>
        <v>66068629.77600001</v>
      </c>
      <c r="F12" s="287">
        <f>$D$12*'[7]MUC THUCHITIET '!L53</f>
        <v>1151383.347692308</v>
      </c>
      <c r="G12" s="287">
        <f>$D$12*'[7]MUC THUCHITIET '!M53</f>
        <v>1293433.8609541422</v>
      </c>
      <c r="H12" s="287">
        <f>$D$12*'[7]MUC THUCHITIET '!N53</f>
        <v>691453.5923076924</v>
      </c>
      <c r="I12" s="287">
        <f>$D$12*'[7]MUC THUCHITIET '!O53</f>
        <v>1178483.766923077</v>
      </c>
      <c r="J12" s="284">
        <f t="shared" si="3"/>
        <v>70383384.34387721</v>
      </c>
      <c r="K12" s="232">
        <f t="shared" si="4"/>
        <v>10557507.651581582</v>
      </c>
      <c r="L12" s="231">
        <f t="shared" si="5"/>
        <v>80940891.9954588</v>
      </c>
      <c r="M12" s="232"/>
    </row>
    <row r="13" spans="1:13" s="218" customFormat="1" ht="54">
      <c r="A13" s="257">
        <f t="shared" si="2"/>
        <v>5</v>
      </c>
      <c r="B13" s="258" t="s">
        <v>256</v>
      </c>
      <c r="C13" s="191" t="s">
        <v>137</v>
      </c>
      <c r="D13" s="286">
        <f>'Du toanthu chi'!E10</f>
        <v>10</v>
      </c>
      <c r="E13" s="287">
        <f>$D$13*'[7]MUC THUCHITIET '!K54</f>
        <v>5758407.9</v>
      </c>
      <c r="F13" s="287">
        <f>$D$13*'[7]MUC THUCHITIET '!L54</f>
        <v>76758.88984615386</v>
      </c>
      <c r="G13" s="287">
        <f>$D$13*'[7]MUC THUCHITIET '!M54</f>
        <v>112097.60128269234</v>
      </c>
      <c r="H13" s="287">
        <f>$D$13*'[7]MUC THUCHITIET '!N54</f>
        <v>59925.978</v>
      </c>
      <c r="I13" s="287">
        <f>$D$13*'[7]MUC THUCHITIET '!O54</f>
        <v>102135.2598</v>
      </c>
      <c r="J13" s="284">
        <f t="shared" si="3"/>
        <v>6109325.628928847</v>
      </c>
      <c r="K13" s="232">
        <f t="shared" si="4"/>
        <v>916398.844339327</v>
      </c>
      <c r="L13" s="231">
        <f t="shared" si="5"/>
        <v>7025724.473268174</v>
      </c>
      <c r="M13" s="232"/>
    </row>
    <row r="14" spans="1:13" s="218" customFormat="1" ht="90">
      <c r="A14" s="257">
        <f t="shared" si="2"/>
        <v>6</v>
      </c>
      <c r="B14" s="258" t="s">
        <v>257</v>
      </c>
      <c r="C14" s="191" t="s">
        <v>137</v>
      </c>
      <c r="D14" s="286">
        <f>'Du toanthu chi'!E11</f>
        <v>5</v>
      </c>
      <c r="E14" s="287">
        <f>$D$14*'[7]MUC THUCHITIET '!K55</f>
        <v>2879203.95</v>
      </c>
      <c r="F14" s="287">
        <f>$D$14*'[7]MUC THUCHITIET '!L55</f>
        <v>38379.44492307693</v>
      </c>
      <c r="G14" s="287">
        <f>$D$14*'[7]MUC THUCHITIET '!M55</f>
        <v>56048.80064134617</v>
      </c>
      <c r="H14" s="287">
        <f>$D$14*'[7]MUC THUCHITIET '!N55</f>
        <v>29962.989</v>
      </c>
      <c r="I14" s="287">
        <f>$D$14*'[7]MUC THUCHITIET '!O55</f>
        <v>51067.6299</v>
      </c>
      <c r="J14" s="284">
        <f t="shared" si="3"/>
        <v>3054662.8144644233</v>
      </c>
      <c r="K14" s="232">
        <f t="shared" si="4"/>
        <v>458199.4221696635</v>
      </c>
      <c r="L14" s="231">
        <f t="shared" si="5"/>
        <v>3512862.236634087</v>
      </c>
      <c r="M14" s="232"/>
    </row>
    <row r="15" spans="1:13" s="218" customFormat="1" ht="36">
      <c r="A15" s="257">
        <f t="shared" si="2"/>
        <v>7</v>
      </c>
      <c r="B15" s="258" t="s">
        <v>195</v>
      </c>
      <c r="C15" s="191" t="s">
        <v>137</v>
      </c>
      <c r="D15" s="286">
        <f>'Du toanthu chi'!E12</f>
        <v>0</v>
      </c>
      <c r="E15" s="287"/>
      <c r="F15" s="287"/>
      <c r="G15" s="287"/>
      <c r="H15" s="287"/>
      <c r="I15" s="287"/>
      <c r="J15" s="284"/>
      <c r="K15" s="232">
        <f t="shared" si="4"/>
        <v>0</v>
      </c>
      <c r="L15" s="231">
        <f t="shared" si="5"/>
        <v>0</v>
      </c>
      <c r="M15" s="232"/>
    </row>
    <row r="16" spans="1:13" s="218" customFormat="1" ht="42" customHeight="1">
      <c r="A16" s="257" t="s">
        <v>50</v>
      </c>
      <c r="B16" s="259" t="s">
        <v>258</v>
      </c>
      <c r="C16" s="191" t="s">
        <v>137</v>
      </c>
      <c r="D16" s="286">
        <f>'Du toanthu chi'!E13</f>
        <v>10</v>
      </c>
      <c r="E16" s="287">
        <f>$D$16*'[7]MUC THUCHITIET '!K57</f>
        <v>4482890.856000001</v>
      </c>
      <c r="F16" s="287">
        <f>$D$16*'[7]MUC THUCHITIET '!L57</f>
        <v>76758.88984615386</v>
      </c>
      <c r="G16" s="287">
        <f>$D$16*'[7]MUC THUCHITIET '!M57</f>
        <v>86228.92406360948</v>
      </c>
      <c r="H16" s="287">
        <f>$D$16*'[7]MUC THUCHITIET '!N57</f>
        <v>46096.906153846154</v>
      </c>
      <c r="I16" s="287">
        <f>$D$16*'[7]MUC THUCHITIET '!O57</f>
        <v>78565.58446153847</v>
      </c>
      <c r="J16" s="284">
        <f t="shared" si="3"/>
        <v>4770541.160525149</v>
      </c>
      <c r="K16" s="232"/>
      <c r="L16" s="231"/>
      <c r="M16" s="232"/>
    </row>
    <row r="17" spans="1:13" s="218" customFormat="1" ht="46.5" customHeight="1">
      <c r="A17" s="257" t="s">
        <v>53</v>
      </c>
      <c r="B17" s="259" t="s">
        <v>259</v>
      </c>
      <c r="C17" s="191" t="s">
        <v>137</v>
      </c>
      <c r="D17" s="286">
        <f>'Du toanthu chi'!E14</f>
        <v>8</v>
      </c>
      <c r="E17" s="287">
        <f>$D$17*'[7]MUC THUCHITIET '!K58</f>
        <v>3523660.2547200006</v>
      </c>
      <c r="F17" s="287">
        <f>$D$17*'[7]MUC THUCHITIET '!L58</f>
        <v>61407.11187692309</v>
      </c>
      <c r="G17" s="287">
        <f>$D$17*'[7]MUC THUCHITIET '!M58</f>
        <v>68983.13925088759</v>
      </c>
      <c r="H17" s="287">
        <f>$D$17*'[7]MUC THUCHITIET '!N58</f>
        <v>36877.524923076926</v>
      </c>
      <c r="I17" s="287">
        <f>$D$17*'[7]MUC THUCHITIET '!O58</f>
        <v>62852.46756923077</v>
      </c>
      <c r="J17" s="284">
        <f t="shared" si="3"/>
        <v>3753780.4983401187</v>
      </c>
      <c r="K17" s="232"/>
      <c r="L17" s="231"/>
      <c r="M17" s="232"/>
    </row>
    <row r="18" spans="1:13" s="218" customFormat="1" ht="72">
      <c r="A18" s="257" t="s">
        <v>54</v>
      </c>
      <c r="B18" s="259" t="s">
        <v>260</v>
      </c>
      <c r="C18" s="191" t="s">
        <v>137</v>
      </c>
      <c r="D18" s="286">
        <f>'Du toanthu chi'!E15</f>
        <v>3</v>
      </c>
      <c r="E18" s="287">
        <f>$D$18*'[7]MUC THUCHITIET '!K59</f>
        <v>1727522.37</v>
      </c>
      <c r="F18" s="287">
        <f>$D$18*'[7]MUC THUCHITIET '!L59</f>
        <v>23027.666953846157</v>
      </c>
      <c r="G18" s="287">
        <f>$D$18*'[7]MUC THUCHITIET '!M59</f>
        <v>33629.2803848077</v>
      </c>
      <c r="H18" s="287">
        <f>$D$18*'[7]MUC THUCHITIET '!N59</f>
        <v>17977.793400000002</v>
      </c>
      <c r="I18" s="287">
        <f>$D$18*'[7]MUC THUCHITIET '!O59</f>
        <v>30640.577940000003</v>
      </c>
      <c r="J18" s="284">
        <f t="shared" si="3"/>
        <v>1832797.688678654</v>
      </c>
      <c r="K18" s="232"/>
      <c r="L18" s="231"/>
      <c r="M18" s="232"/>
    </row>
    <row r="19" spans="1:13" s="218" customFormat="1" ht="54">
      <c r="A19" s="257">
        <v>8</v>
      </c>
      <c r="B19" s="258" t="s">
        <v>196</v>
      </c>
      <c r="C19" s="191" t="s">
        <v>137</v>
      </c>
      <c r="D19" s="286"/>
      <c r="E19" s="287"/>
      <c r="F19" s="287"/>
      <c r="G19" s="287"/>
      <c r="H19" s="287"/>
      <c r="I19" s="287"/>
      <c r="J19" s="284"/>
      <c r="K19" s="232"/>
      <c r="L19" s="231"/>
      <c r="M19" s="232"/>
    </row>
    <row r="20" spans="1:13" s="218" customFormat="1" ht="54">
      <c r="A20" s="257" t="s">
        <v>50</v>
      </c>
      <c r="B20" s="259" t="s">
        <v>250</v>
      </c>
      <c r="C20" s="191" t="s">
        <v>137</v>
      </c>
      <c r="D20" s="286">
        <f>'Du toanthu chi'!E17</f>
        <v>10</v>
      </c>
      <c r="E20" s="287">
        <f>$D$20*'[7]MUC THUCHITIET '!K61</f>
        <v>3995695.576800001</v>
      </c>
      <c r="F20" s="287">
        <f>$D$20*'[7]MUC THUCHITIET '!L61</f>
        <v>76758.88984615386</v>
      </c>
      <c r="G20" s="287">
        <f>$D$20*'[7]MUC THUCHITIET '!M61</f>
        <v>86228.92406360948</v>
      </c>
      <c r="H20" s="287">
        <f>$D$20*'[7]MUC THUCHITIET '!N61</f>
        <v>46096.906153846154</v>
      </c>
      <c r="I20" s="287">
        <f>$D$20*'[7]MUC THUCHITIET '!O61</f>
        <v>78565.58446153847</v>
      </c>
      <c r="J20" s="284">
        <f t="shared" si="3"/>
        <v>4283345.881325149</v>
      </c>
      <c r="K20" s="232"/>
      <c r="L20" s="231"/>
      <c r="M20" s="232"/>
    </row>
    <row r="21" spans="1:13" s="218" customFormat="1" ht="54">
      <c r="A21" s="257" t="s">
        <v>53</v>
      </c>
      <c r="B21" s="259" t="s">
        <v>251</v>
      </c>
      <c r="C21" s="191" t="s">
        <v>137</v>
      </c>
      <c r="D21" s="286">
        <f>'Du toanthu chi'!E18</f>
        <v>5</v>
      </c>
      <c r="E21" s="287">
        <f>$D$21*'[7]MUC THUCHITIET '!K73</f>
        <v>1953088.0596000005</v>
      </c>
      <c r="F21" s="287">
        <f>$D$21*'[7]MUC THUCHITIET '!L73</f>
        <v>38379.44492307693</v>
      </c>
      <c r="G21" s="287">
        <f>$D$21*'[7]MUC THUCHITIET '!M73</f>
        <v>43114.46203180474</v>
      </c>
      <c r="H21" s="287">
        <f>$D$21*'[7]MUC THUCHITIET '!N73</f>
        <v>23048.453076923077</v>
      </c>
      <c r="I21" s="287">
        <f>$D$21*'[7]MUC THUCHITIET '!O73</f>
        <v>39282.792230769235</v>
      </c>
      <c r="J21" s="284">
        <f t="shared" si="3"/>
        <v>2096913.2118625746</v>
      </c>
      <c r="K21" s="232"/>
      <c r="L21" s="231"/>
      <c r="M21" s="232"/>
    </row>
    <row r="22" spans="1:13" s="218" customFormat="1" ht="72">
      <c r="A22" s="257" t="s">
        <v>54</v>
      </c>
      <c r="B22" s="259" t="s">
        <v>252</v>
      </c>
      <c r="C22" s="191" t="s">
        <v>137</v>
      </c>
      <c r="D22" s="286">
        <f>'Du toanthu chi'!E19</f>
        <v>5</v>
      </c>
      <c r="E22" s="287">
        <f>$D$22*'[7]MUC THUCHITIET '!K85</f>
        <v>2596710.6504</v>
      </c>
      <c r="F22" s="287">
        <f>$D$22*'[7]MUC THUCHITIET '!L85</f>
        <v>38379.44492307693</v>
      </c>
      <c r="G22" s="287">
        <f>$D$22*'[7]MUC THUCHITIET '!M85</f>
        <v>56048.80064134617</v>
      </c>
      <c r="H22" s="287">
        <f>$D$22*'[7]MUC THUCHITIET '!N85</f>
        <v>29962.989</v>
      </c>
      <c r="I22" s="287">
        <f>$D$22*'[7]MUC THUCHITIET '!O85</f>
        <v>51067.6299</v>
      </c>
      <c r="J22" s="284">
        <f t="shared" si="3"/>
        <v>2772169.5148644233</v>
      </c>
      <c r="K22" s="232"/>
      <c r="L22" s="231"/>
      <c r="M22" s="232"/>
    </row>
    <row r="23" spans="1:13" s="218" customFormat="1" ht="36">
      <c r="A23" s="257">
        <v>9</v>
      </c>
      <c r="B23" s="258" t="s">
        <v>197</v>
      </c>
      <c r="C23" s="191" t="s">
        <v>137</v>
      </c>
      <c r="D23" s="286"/>
      <c r="E23" s="287"/>
      <c r="F23" s="287"/>
      <c r="G23" s="287"/>
      <c r="H23" s="287"/>
      <c r="I23" s="287"/>
      <c r="J23" s="284"/>
      <c r="K23" s="232"/>
      <c r="L23" s="231"/>
      <c r="M23" s="232"/>
    </row>
    <row r="24" spans="1:13" s="218" customFormat="1" ht="36">
      <c r="A24" s="257" t="s">
        <v>50</v>
      </c>
      <c r="B24" s="259" t="s">
        <v>253</v>
      </c>
      <c r="C24" s="191" t="s">
        <v>137</v>
      </c>
      <c r="D24" s="286">
        <f>'Du toanthu chi'!E21</f>
        <v>250</v>
      </c>
      <c r="E24" s="374">
        <f>$D$24*'[7]MUC THUCHITIET '!K98</f>
        <v>112072271.4</v>
      </c>
      <c r="F24" s="374">
        <f>$D$24*'[7]MUC THUCHITIET '!L98</f>
        <v>1918972.2461538466</v>
      </c>
      <c r="G24" s="374">
        <f>$D$24*'[7]MUC THUCHITIET '!M98</f>
        <v>2155723.101590237</v>
      </c>
      <c r="H24" s="374">
        <f>$D$24*'[7]MUC THUCHITIET '!N98</f>
        <v>1152422.653846154</v>
      </c>
      <c r="I24" s="374">
        <f>$D$24*'[7]MUC THUCHITIET '!O98</f>
        <v>1964139.6115384616</v>
      </c>
      <c r="J24" s="284">
        <f t="shared" si="3"/>
        <v>119263529.0131287</v>
      </c>
      <c r="K24" s="232"/>
      <c r="L24" s="231"/>
      <c r="M24" s="232"/>
    </row>
    <row r="25" spans="1:13" s="218" customFormat="1" ht="34.5" customHeight="1">
      <c r="A25" s="257" t="s">
        <v>53</v>
      </c>
      <c r="B25" s="259" t="s">
        <v>254</v>
      </c>
      <c r="C25" s="191" t="s">
        <v>137</v>
      </c>
      <c r="D25" s="286">
        <f>'Du toanthu chi'!E22</f>
        <v>185</v>
      </c>
      <c r="E25" s="287">
        <f>$D$25*'[7]MUC THUCHITIET '!K113</f>
        <v>81484643.3904</v>
      </c>
      <c r="F25" s="287">
        <f>$D$25*'[7]MUC THUCHITIET '!L113</f>
        <v>1420039.4621538464</v>
      </c>
      <c r="G25" s="287">
        <f>$D$25*'[7]MUC THUCHITIET '!M113</f>
        <v>1595235.0951767755</v>
      </c>
      <c r="H25" s="287">
        <f>$D$25*'[7]MUC THUCHITIET '!N113</f>
        <v>852792.7638461539</v>
      </c>
      <c r="I25" s="287">
        <f>$D$25*'[7]MUC THUCHITIET '!O113</f>
        <v>1453463.3125384615</v>
      </c>
      <c r="J25" s="284">
        <f t="shared" si="3"/>
        <v>86806174.02411525</v>
      </c>
      <c r="K25" s="232"/>
      <c r="L25" s="231"/>
      <c r="M25" s="232"/>
    </row>
    <row r="26" spans="1:13" s="218" customFormat="1" ht="36">
      <c r="A26" s="257" t="s">
        <v>54</v>
      </c>
      <c r="B26" s="259" t="s">
        <v>197</v>
      </c>
      <c r="C26" s="191" t="s">
        <v>137</v>
      </c>
      <c r="D26" s="286">
        <f>'Du toanthu chi'!E23</f>
        <v>50</v>
      </c>
      <c r="E26" s="287">
        <f>$D$26*'[7]MUC THUCHITIET '!K128</f>
        <v>28792039.5</v>
      </c>
      <c r="F26" s="287">
        <f>$D$26*'[7]MUC THUCHITIET '!L128</f>
        <v>383794.4492307693</v>
      </c>
      <c r="G26" s="287">
        <f>$D$26*'[7]MUC THUCHITIET '!M128</f>
        <v>560488.0064134616</v>
      </c>
      <c r="H26" s="287">
        <f>$D$26*'[7]MUC THUCHITIET '!N128</f>
        <v>299629.89</v>
      </c>
      <c r="I26" s="287">
        <f>$D$26*'[7]MUC THUCHITIET '!O128</f>
        <v>510676.299</v>
      </c>
      <c r="J26" s="284">
        <f t="shared" si="3"/>
        <v>30546628.144644227</v>
      </c>
      <c r="K26" s="232"/>
      <c r="L26" s="231"/>
      <c r="M26" s="232"/>
    </row>
    <row r="27" spans="1:14" s="218" customFormat="1" ht="35.25" customHeight="1">
      <c r="A27" s="257">
        <v>10</v>
      </c>
      <c r="B27" s="258" t="s">
        <v>244</v>
      </c>
      <c r="C27" s="278" t="s">
        <v>245</v>
      </c>
      <c r="D27" s="286">
        <f>'Du toanthu chi'!E24</f>
        <v>9800</v>
      </c>
      <c r="E27" s="287">
        <f>D27*'[8]thua'!$K$10</f>
        <v>222043500</v>
      </c>
      <c r="F27" s="287">
        <f>$D$27*'[8]thua'!M10</f>
        <v>75223712.04923078</v>
      </c>
      <c r="G27" s="287">
        <f>$D$27*'[8]thua'!N10</f>
        <v>84504345.58233729</v>
      </c>
      <c r="H27" s="287">
        <f>$D$27*'[8]thua'!O10</f>
        <v>45174968.03076924</v>
      </c>
      <c r="I27" s="287">
        <f>$D$27*'[8]thua'!P10</f>
        <v>19864600</v>
      </c>
      <c r="J27" s="284">
        <f t="shared" si="3"/>
        <v>446811125.6623373</v>
      </c>
      <c r="K27" s="232"/>
      <c r="L27" s="231"/>
      <c r="M27" s="232"/>
      <c r="N27" s="279">
        <f>J27+M27</f>
        <v>446811125.6623373</v>
      </c>
    </row>
    <row r="28" spans="1:14" s="273" customFormat="1" ht="39.75" customHeight="1">
      <c r="A28" s="274" t="s">
        <v>214</v>
      </c>
      <c r="B28" s="270" t="s">
        <v>141</v>
      </c>
      <c r="C28" s="274"/>
      <c r="D28" s="285">
        <f aca="true" t="shared" si="6" ref="D28:L28">SUM(D29:D47)</f>
        <v>61689</v>
      </c>
      <c r="E28" s="285">
        <f t="shared" si="6"/>
        <v>13203681809.97402</v>
      </c>
      <c r="F28" s="285">
        <f t="shared" si="6"/>
        <v>519707971.61058474</v>
      </c>
      <c r="G28" s="285">
        <f t="shared" si="6"/>
        <v>387823866.95644283</v>
      </c>
      <c r="H28" s="285">
        <f t="shared" si="6"/>
        <v>214998050.74840623</v>
      </c>
      <c r="I28" s="285">
        <f t="shared" si="6"/>
        <v>335272861.75615394</v>
      </c>
      <c r="J28" s="285">
        <f t="shared" si="6"/>
        <v>14661484561.04561</v>
      </c>
      <c r="K28" s="276">
        <f t="shared" si="6"/>
        <v>1167056587.8349717</v>
      </c>
      <c r="L28" s="276">
        <f t="shared" si="6"/>
        <v>8947433840.068115</v>
      </c>
      <c r="M28" s="275"/>
      <c r="N28" s="230">
        <f>'[4]Du toan thu'!H37</f>
        <v>0</v>
      </c>
    </row>
    <row r="29" spans="1:14" s="273" customFormat="1" ht="39" customHeight="1">
      <c r="A29" s="257">
        <v>1</v>
      </c>
      <c r="B29" s="258" t="s">
        <v>192</v>
      </c>
      <c r="C29" s="278" t="s">
        <v>137</v>
      </c>
      <c r="D29" s="286">
        <f>'Du toanthu chi'!E26</f>
        <v>22350</v>
      </c>
      <c r="E29" s="287">
        <f>$D$29*'[7]MUC THUCHITIET '!K144</f>
        <v>4602120424.740001</v>
      </c>
      <c r="F29" s="287">
        <f>$D$29*'[7]MUC THUCHITIET '!L144</f>
        <v>189146259.24923077</v>
      </c>
      <c r="G29" s="287">
        <f>$D$29*'[7]MUC THUCHITIET '!M144</f>
        <v>132769060.05570267</v>
      </c>
      <c r="H29" s="287">
        <f>$D$29*'[7]MUC THUCHITIET '!N144</f>
        <v>73790947.0523077</v>
      </c>
      <c r="I29" s="287">
        <f>$D$29*'[7]MUC THUCHITIET '!O144</f>
        <v>120751118.65384616</v>
      </c>
      <c r="J29" s="284">
        <f>SUM(E29:I29)</f>
        <v>5118577809.751087</v>
      </c>
      <c r="K29" s="232">
        <f t="shared" si="4"/>
        <v>767786671.462663</v>
      </c>
      <c r="L29" s="231">
        <f t="shared" si="5"/>
        <v>5886364481.21375</v>
      </c>
      <c r="M29" s="232"/>
      <c r="N29" s="277"/>
    </row>
    <row r="30" spans="1:13" s="218" customFormat="1" ht="38.25" customHeight="1">
      <c r="A30" s="257">
        <f aca="true" t="shared" si="7" ref="A30:A35">A29+1</f>
        <v>2</v>
      </c>
      <c r="B30" s="258" t="s">
        <v>193</v>
      </c>
      <c r="C30" s="278" t="s">
        <v>137</v>
      </c>
      <c r="D30" s="286">
        <f>'Du toanthu chi'!E27</f>
        <v>4500</v>
      </c>
      <c r="E30" s="287">
        <f>$D$30*'[7]MUC THUCHITIET '!K159</f>
        <v>1099750285.6200001</v>
      </c>
      <c r="F30" s="287">
        <f>$D$30*'[7]MUC THUCHITIET '!L159</f>
        <v>38083139.44615385</v>
      </c>
      <c r="G30" s="287">
        <f>$D$30*'[7]MUC THUCHITIET '!M159</f>
        <v>26732025.514571007</v>
      </c>
      <c r="H30" s="287">
        <f>$D$30*'[7]MUC THUCHITIET '!N159</f>
        <v>14857237.661538461</v>
      </c>
      <c r="I30" s="287">
        <f>$D$30*'[7]MUC THUCHITIET '!O159</f>
        <v>24312305.76923077</v>
      </c>
      <c r="J30" s="284">
        <f aca="true" t="shared" si="8" ref="J30:J47">SUM(E30:I30)</f>
        <v>1203734994.0114942</v>
      </c>
      <c r="K30" s="232">
        <f t="shared" si="4"/>
        <v>180560249.10172412</v>
      </c>
      <c r="L30" s="231">
        <f t="shared" si="5"/>
        <v>1384295243.1132183</v>
      </c>
      <c r="M30" s="232"/>
    </row>
    <row r="31" spans="1:13" s="280" customFormat="1" ht="41.25" customHeight="1">
      <c r="A31" s="257">
        <f t="shared" si="7"/>
        <v>3</v>
      </c>
      <c r="B31" s="259" t="s">
        <v>194</v>
      </c>
      <c r="C31" s="278" t="s">
        <v>137</v>
      </c>
      <c r="D31" s="286">
        <f>'Du toanthu chi'!E28</f>
        <v>4200</v>
      </c>
      <c r="E31" s="287">
        <f>$D$31*'[7]MUC THUCHITIET '!K174</f>
        <v>1285391268.0000005</v>
      </c>
      <c r="F31" s="287">
        <f>$D$31*'[7]MUC THUCHITIET '!L174</f>
        <v>35544263.48307692</v>
      </c>
      <c r="G31" s="287">
        <f>$D$31*'[7]MUC THUCHITIET '!M174</f>
        <v>32434857.624346156</v>
      </c>
      <c r="H31" s="287">
        <f>$D$31*'[7]MUC THUCHITIET '!N174</f>
        <v>18026781.696</v>
      </c>
      <c r="I31" s="287">
        <f>$D$31*'[7]MUC THUCHITIET '!O174</f>
        <v>29498931</v>
      </c>
      <c r="J31" s="284">
        <f t="shared" si="8"/>
        <v>1400896101.8034236</v>
      </c>
      <c r="K31" s="232">
        <f t="shared" si="4"/>
        <v>210134415.27051353</v>
      </c>
      <c r="L31" s="231">
        <f t="shared" si="5"/>
        <v>1611030517.0739372</v>
      </c>
      <c r="M31" s="232"/>
    </row>
    <row r="32" spans="1:13" s="218" customFormat="1" ht="44.25" customHeight="1">
      <c r="A32" s="257">
        <f t="shared" si="7"/>
        <v>4</v>
      </c>
      <c r="B32" s="258" t="s">
        <v>255</v>
      </c>
      <c r="C32" s="278" t="s">
        <v>137</v>
      </c>
      <c r="D32" s="286">
        <f>'Du toanthu chi'!E29</f>
        <v>200</v>
      </c>
      <c r="E32" s="287">
        <f>$D$32*'[7]MUC THUCHITIET '!K189</f>
        <v>48877790.47200001</v>
      </c>
      <c r="F32" s="287">
        <f>$D$32*'[7]MUC THUCHITIET '!L189</f>
        <v>1692583.9753846154</v>
      </c>
      <c r="G32" s="287">
        <f>$D$32*'[7]MUC THUCHITIET '!M189</f>
        <v>1188090.0228698226</v>
      </c>
      <c r="H32" s="287">
        <f>$D$32*'[7]MUC THUCHITIET '!N189</f>
        <v>660321.6738461539</v>
      </c>
      <c r="I32" s="287">
        <f>$D$32*'[7]MUC THUCHITIET '!O189</f>
        <v>1080546.923076923</v>
      </c>
      <c r="J32" s="284">
        <f t="shared" si="8"/>
        <v>53499333.06717753</v>
      </c>
      <c r="K32" s="232">
        <f t="shared" si="4"/>
        <v>8024899.960076628</v>
      </c>
      <c r="L32" s="231">
        <f t="shared" si="5"/>
        <v>61524233.02725416</v>
      </c>
      <c r="M32" s="232"/>
    </row>
    <row r="33" spans="1:13" s="218" customFormat="1" ht="54">
      <c r="A33" s="257">
        <f t="shared" si="7"/>
        <v>5</v>
      </c>
      <c r="B33" s="258" t="s">
        <v>256</v>
      </c>
      <c r="C33" s="278" t="s">
        <v>137</v>
      </c>
      <c r="D33" s="286">
        <f>'Du toanthu chi'!E30</f>
        <v>10</v>
      </c>
      <c r="E33" s="287">
        <f>$D$33*'[7]MUC THUCHITIET '!K190</f>
        <v>3060455.400000001</v>
      </c>
      <c r="F33" s="287">
        <f>$D$33*'[7]MUC THUCHITIET '!L190</f>
        <v>84629.19876923077</v>
      </c>
      <c r="G33" s="287">
        <f>$D$33*'[7]MUC THUCHITIET '!M190</f>
        <v>77225.85148653846</v>
      </c>
      <c r="H33" s="287">
        <f>$D$33*'[7]MUC THUCHITIET '!N190</f>
        <v>42920.9088</v>
      </c>
      <c r="I33" s="287">
        <f>$D$33*'[7]MUC THUCHITIET '!O190</f>
        <v>70235.55</v>
      </c>
      <c r="J33" s="284">
        <f t="shared" si="8"/>
        <v>3335466.90905577</v>
      </c>
      <c r="K33" s="232">
        <f t="shared" si="4"/>
        <v>500320.03635836544</v>
      </c>
      <c r="L33" s="231">
        <f t="shared" si="5"/>
        <v>3835786.945414135</v>
      </c>
      <c r="M33" s="232"/>
    </row>
    <row r="34" spans="1:13" s="218" customFormat="1" ht="90">
      <c r="A34" s="257">
        <f t="shared" si="7"/>
        <v>6</v>
      </c>
      <c r="B34" s="258" t="s">
        <v>257</v>
      </c>
      <c r="C34" s="278" t="s">
        <v>137</v>
      </c>
      <c r="D34" s="286">
        <f>'Du toanthu chi'!E31</f>
        <v>1</v>
      </c>
      <c r="E34" s="287">
        <f>'[7]MUC THUCHITIET '!K191*$D$34</f>
        <v>306045.5400000001</v>
      </c>
      <c r="F34" s="287">
        <f>'[7]MUC THUCHITIET '!L191*$D$34</f>
        <v>8462.919876923077</v>
      </c>
      <c r="G34" s="287">
        <f>'[7]MUC THUCHITIET '!M191*$D$34</f>
        <v>7722.585148653847</v>
      </c>
      <c r="H34" s="287">
        <f>'[7]MUC THUCHITIET '!N191*$D$34</f>
        <v>4292.09088</v>
      </c>
      <c r="I34" s="287">
        <f>'[7]MUC THUCHITIET '!O191*$D$34</f>
        <v>7023.555</v>
      </c>
      <c r="J34" s="284">
        <f t="shared" si="8"/>
        <v>333546.690905577</v>
      </c>
      <c r="K34" s="232">
        <f t="shared" si="4"/>
        <v>50032.00363583655</v>
      </c>
      <c r="L34" s="231">
        <f t="shared" si="5"/>
        <v>383578.6945414135</v>
      </c>
      <c r="M34" s="232"/>
    </row>
    <row r="35" spans="1:13" s="218" customFormat="1" ht="36">
      <c r="A35" s="257">
        <f t="shared" si="7"/>
        <v>7</v>
      </c>
      <c r="B35" s="258" t="s">
        <v>195</v>
      </c>
      <c r="C35" s="191" t="s">
        <v>137</v>
      </c>
      <c r="D35" s="286"/>
      <c r="E35" s="287"/>
      <c r="F35" s="287"/>
      <c r="G35" s="287"/>
      <c r="H35" s="287"/>
      <c r="I35" s="287"/>
      <c r="J35" s="284"/>
      <c r="K35" s="232">
        <f t="shared" si="4"/>
        <v>0</v>
      </c>
      <c r="L35" s="231">
        <f t="shared" si="5"/>
        <v>0</v>
      </c>
      <c r="M35" s="232"/>
    </row>
    <row r="36" spans="1:13" s="218" customFormat="1" ht="36">
      <c r="A36" s="257" t="s">
        <v>50</v>
      </c>
      <c r="B36" s="259" t="s">
        <v>258</v>
      </c>
      <c r="C36" s="191" t="s">
        <v>137</v>
      </c>
      <c r="D36" s="286">
        <f>'Du toanthu chi'!E33</f>
        <v>10</v>
      </c>
      <c r="E36" s="287">
        <f>$D$36*'[7]MUC THUCHITIET '!K193</f>
        <v>2059114.2840000005</v>
      </c>
      <c r="F36" s="287">
        <f>$D$36*'[7]MUC THUCHITIET '!L193</f>
        <v>84629.19876923077</v>
      </c>
      <c r="G36" s="287">
        <f>$D$36*'[7]MUC THUCHITIET '!M193</f>
        <v>59404.50114349113</v>
      </c>
      <c r="H36" s="287">
        <f>$D$36*'[7]MUC THUCHITIET '!N193</f>
        <v>33016.08369230769</v>
      </c>
      <c r="I36" s="287">
        <f>$D$36*'[7]MUC THUCHITIET '!O193</f>
        <v>54027.346153846156</v>
      </c>
      <c r="J36" s="284">
        <f t="shared" si="8"/>
        <v>2290191.413758876</v>
      </c>
      <c r="K36" s="232"/>
      <c r="L36" s="231"/>
      <c r="M36" s="232"/>
    </row>
    <row r="37" spans="1:13" s="218" customFormat="1" ht="36">
      <c r="A37" s="257" t="s">
        <v>53</v>
      </c>
      <c r="B37" s="259" t="s">
        <v>259</v>
      </c>
      <c r="C37" s="191" t="s">
        <v>137</v>
      </c>
      <c r="D37" s="286">
        <f>'Du toanthu chi'!E34</f>
        <v>5</v>
      </c>
      <c r="E37" s="287">
        <f>$D$37*'[7]MUC THUCHITIET '!K194</f>
        <v>1221944.7618000002</v>
      </c>
      <c r="F37" s="287">
        <f>$D$37*'[7]MUC THUCHITIET '!L194</f>
        <v>42314.59938461539</v>
      </c>
      <c r="G37" s="287">
        <f>$D$37*'[7]MUC THUCHITIET '!M194</f>
        <v>29702.250571745564</v>
      </c>
      <c r="H37" s="287">
        <f>$D$37*'[7]MUC THUCHITIET '!N194</f>
        <v>16508.041846153847</v>
      </c>
      <c r="I37" s="287">
        <f>$D$37*'[7]MUC THUCHITIET '!O194</f>
        <v>27013.673076923078</v>
      </c>
      <c r="J37" s="284">
        <f t="shared" si="8"/>
        <v>1337483.326679438</v>
      </c>
      <c r="K37" s="232"/>
      <c r="L37" s="231"/>
      <c r="M37" s="232"/>
    </row>
    <row r="38" spans="1:13" s="218" customFormat="1" ht="72">
      <c r="A38" s="257" t="s">
        <v>54</v>
      </c>
      <c r="B38" s="259" t="s">
        <v>260</v>
      </c>
      <c r="C38" s="191" t="s">
        <v>137</v>
      </c>
      <c r="D38" s="286">
        <f>'Du toanthu chi'!E35</f>
        <v>10</v>
      </c>
      <c r="E38" s="287">
        <f>$D$38*'[7]MUC THUCHITIET '!K195</f>
        <v>3060455.400000001</v>
      </c>
      <c r="F38" s="287">
        <f>$D$38*'[7]MUC THUCHITIET '!L195</f>
        <v>84629.19876923077</v>
      </c>
      <c r="G38" s="287">
        <f>$D$38*'[7]MUC THUCHITIET '!M195</f>
        <v>77225.85148653846</v>
      </c>
      <c r="H38" s="287">
        <f>$D$38*'[7]MUC THUCHITIET '!N195</f>
        <v>42920.9088</v>
      </c>
      <c r="I38" s="287">
        <f>$D$38*'[7]MUC THUCHITIET '!O195</f>
        <v>70235.55</v>
      </c>
      <c r="J38" s="284">
        <f t="shared" si="8"/>
        <v>3335466.90905577</v>
      </c>
      <c r="K38" s="232"/>
      <c r="L38" s="231"/>
      <c r="M38" s="232"/>
    </row>
    <row r="39" spans="1:13" s="218" customFormat="1" ht="54">
      <c r="A39" s="257">
        <v>8</v>
      </c>
      <c r="B39" s="258" t="s">
        <v>196</v>
      </c>
      <c r="C39" s="191" t="s">
        <v>137</v>
      </c>
      <c r="D39" s="286"/>
      <c r="E39" s="287"/>
      <c r="F39" s="287"/>
      <c r="G39" s="287"/>
      <c r="H39" s="287"/>
      <c r="I39" s="287"/>
      <c r="J39" s="284"/>
      <c r="K39" s="232"/>
      <c r="L39" s="231"/>
      <c r="M39" s="232"/>
    </row>
    <row r="40" spans="1:13" s="218" customFormat="1" ht="54">
      <c r="A40" s="257" t="s">
        <v>50</v>
      </c>
      <c r="B40" s="259" t="s">
        <v>250</v>
      </c>
      <c r="C40" s="191" t="s">
        <v>137</v>
      </c>
      <c r="D40" s="286">
        <f>'Du toanthu chi'!E37</f>
        <v>1</v>
      </c>
      <c r="E40" s="287">
        <f>$D$40*'[7]MUC THUCHITIET '!K197</f>
        <v>165702.56021999998</v>
      </c>
      <c r="F40" s="287">
        <f>$D$40*'[7]MUC THUCHITIET '!L197</f>
        <v>8462.919876923077</v>
      </c>
      <c r="G40" s="287">
        <f>$D$40*'[7]MUC THUCHITIET '!M197</f>
        <v>5940.4501143491125</v>
      </c>
      <c r="H40" s="287">
        <f>$D$40*'[7]MUC THUCHITIET '!N197</f>
        <v>3301.6083692307693</v>
      </c>
      <c r="I40" s="287">
        <f>$D$40*'[7]MUC THUCHITIET '!O197</f>
        <v>5402.734615384616</v>
      </c>
      <c r="J40" s="284">
        <f t="shared" si="8"/>
        <v>188810.27319588757</v>
      </c>
      <c r="K40" s="232"/>
      <c r="L40" s="231"/>
      <c r="M40" s="232"/>
    </row>
    <row r="41" spans="1:13" s="218" customFormat="1" ht="54">
      <c r="A41" s="257" t="s">
        <v>53</v>
      </c>
      <c r="B41" s="259" t="s">
        <v>251</v>
      </c>
      <c r="C41" s="191" t="s">
        <v>137</v>
      </c>
      <c r="D41" s="286">
        <f>'Du toanthu chi'!E38</f>
        <v>1</v>
      </c>
      <c r="E41" s="287">
        <f>$D$41*'[7]MUC THUCHITIET '!K209</f>
        <v>204180.08418</v>
      </c>
      <c r="F41" s="287">
        <f>$D$41*'[7]MUC THUCHITIET '!L209</f>
        <v>8462.919876923077</v>
      </c>
      <c r="G41" s="287">
        <f>$D$41*'[7]MUC THUCHITIET '!M209</f>
        <v>5940.4501143491125</v>
      </c>
      <c r="H41" s="287">
        <f>$D$41*'[7]MUC THUCHITIET '!N209</f>
        <v>3301.6083692307693</v>
      </c>
      <c r="I41" s="287">
        <f>$D$41*'[7]MUC THUCHITIET '!O209</f>
        <v>5402.734615384616</v>
      </c>
      <c r="J41" s="284">
        <f t="shared" si="8"/>
        <v>227287.7971558876</v>
      </c>
      <c r="K41" s="232"/>
      <c r="L41" s="231"/>
      <c r="M41" s="232"/>
    </row>
    <row r="42" spans="1:13" s="218" customFormat="1" ht="72">
      <c r="A42" s="257" t="s">
        <v>54</v>
      </c>
      <c r="B42" s="259" t="s">
        <v>252</v>
      </c>
      <c r="C42" s="191" t="s">
        <v>137</v>
      </c>
      <c r="D42" s="286">
        <f>'Du toanthu chi'!E39</f>
        <v>1</v>
      </c>
      <c r="E42" s="287">
        <f>$D$42*'[7]MUC THUCHITIET '!K221</f>
        <v>260634.85182</v>
      </c>
      <c r="F42" s="287">
        <f>$D$42*'[7]MUC THUCHITIET '!L221</f>
        <v>8462.919876923077</v>
      </c>
      <c r="G42" s="287">
        <f>$D$42*'[7]MUC THUCHITIET '!M221</f>
        <v>7722.585148653847</v>
      </c>
      <c r="H42" s="287">
        <f>$D$42*'[7]MUC THUCHITIET '!N221</f>
        <v>4292.09088</v>
      </c>
      <c r="I42" s="287">
        <f>$D$42*'[7]MUC THUCHITIET '!O221</f>
        <v>7023.555</v>
      </c>
      <c r="J42" s="284">
        <f t="shared" si="8"/>
        <v>288136.00272557687</v>
      </c>
      <c r="K42" s="232"/>
      <c r="L42" s="231"/>
      <c r="M42" s="232"/>
    </row>
    <row r="43" spans="1:13" s="218" customFormat="1" ht="36">
      <c r="A43" s="257">
        <v>9</v>
      </c>
      <c r="B43" s="258" t="s">
        <v>197</v>
      </c>
      <c r="C43" s="191" t="s">
        <v>137</v>
      </c>
      <c r="D43" s="286"/>
      <c r="E43" s="287"/>
      <c r="F43" s="287"/>
      <c r="G43" s="287"/>
      <c r="H43" s="287"/>
      <c r="I43" s="287"/>
      <c r="J43" s="284"/>
      <c r="K43" s="232"/>
      <c r="L43" s="231"/>
      <c r="M43" s="232"/>
    </row>
    <row r="44" spans="1:13" s="218" customFormat="1" ht="36">
      <c r="A44" s="257" t="s">
        <v>50</v>
      </c>
      <c r="B44" s="259" t="s">
        <v>253</v>
      </c>
      <c r="C44" s="191" t="s">
        <v>137</v>
      </c>
      <c r="D44" s="286">
        <f>'Du toanthu chi'!E41</f>
        <v>21150</v>
      </c>
      <c r="E44" s="287">
        <f>$D$44*'[7]MUC THUCHITIET '!K234</f>
        <v>4355026710.660001</v>
      </c>
      <c r="F44" s="287">
        <f>$D$44*'[7]MUC THUCHITIET '!L234</f>
        <v>178990755.39692307</v>
      </c>
      <c r="G44" s="287">
        <f>$D$44*'[7]MUC THUCHITIET '!M234</f>
        <v>125640519.91848373</v>
      </c>
      <c r="H44" s="287">
        <f>$D$44*'[7]MUC THUCHITIET '!N234</f>
        <v>69829017.00923078</v>
      </c>
      <c r="I44" s="287">
        <f>$D$44*'[7]MUC THUCHITIET '!O234</f>
        <v>114267837.11538462</v>
      </c>
      <c r="J44" s="284">
        <f t="shared" si="8"/>
        <v>4843754840.100023</v>
      </c>
      <c r="K44" s="232"/>
      <c r="L44" s="231"/>
      <c r="M44" s="232"/>
    </row>
    <row r="45" spans="1:13" s="218" customFormat="1" ht="28.5" customHeight="1">
      <c r="A45" s="257" t="s">
        <v>53</v>
      </c>
      <c r="B45" s="259" t="s">
        <v>254</v>
      </c>
      <c r="C45" s="191" t="s">
        <v>137</v>
      </c>
      <c r="D45" s="286">
        <f>'Du toanthu chi'!E42</f>
        <v>3000</v>
      </c>
      <c r="E45" s="287">
        <f>$D$45*'[7]MUC THUCHITIET '!K249</f>
        <v>737345519.1</v>
      </c>
      <c r="F45" s="287">
        <f>$D$45*'[7]MUC THUCHITIET '!L249</f>
        <v>25388759.63076923</v>
      </c>
      <c r="G45" s="287">
        <f>$D$45*'[7]MUC THUCHITIET '!M249</f>
        <v>17821350.343047336</v>
      </c>
      <c r="H45" s="287">
        <f>$D$45*'[7]MUC THUCHITIET '!N249</f>
        <v>9904825.107692309</v>
      </c>
      <c r="I45" s="287">
        <f>$D$45*'[7]MUC THUCHITIET '!O249</f>
        <v>16208203.846153846</v>
      </c>
      <c r="J45" s="284">
        <f t="shared" si="8"/>
        <v>806668658.0276629</v>
      </c>
      <c r="K45" s="232"/>
      <c r="L45" s="231"/>
      <c r="M45" s="232"/>
    </row>
    <row r="46" spans="1:13" s="218" customFormat="1" ht="36">
      <c r="A46" s="257" t="s">
        <v>54</v>
      </c>
      <c r="B46" s="259" t="s">
        <v>197</v>
      </c>
      <c r="C46" s="191" t="s">
        <v>137</v>
      </c>
      <c r="D46" s="286">
        <f>'Du toanthu chi'!E43</f>
        <v>3250</v>
      </c>
      <c r="E46" s="287">
        <f>$D$46*'[7]MUC THUCHITIET '!K264</f>
        <v>996858778.5</v>
      </c>
      <c r="F46" s="287">
        <f>$D$46*'[7]MUC THUCHITIET '!L264</f>
        <v>27504489.6</v>
      </c>
      <c r="G46" s="287">
        <f>$D$46*'[7]MUC THUCHITIET '!M264</f>
        <v>25098401.733125</v>
      </c>
      <c r="H46" s="287">
        <f>$D$46*'[7]MUC THUCHITIET '!N264</f>
        <v>13949295.36</v>
      </c>
      <c r="I46" s="287">
        <f>$D$46*'[7]MUC THUCHITIET '!O264</f>
        <v>22826553.75</v>
      </c>
      <c r="J46" s="284">
        <f t="shared" si="8"/>
        <v>1086237518.943125</v>
      </c>
      <c r="K46" s="232"/>
      <c r="L46" s="231"/>
      <c r="M46" s="232"/>
    </row>
    <row r="47" spans="1:13" s="218" customFormat="1" ht="28.5" customHeight="1">
      <c r="A47" s="260">
        <v>10</v>
      </c>
      <c r="B47" s="271" t="s">
        <v>244</v>
      </c>
      <c r="C47" s="281" t="s">
        <v>245</v>
      </c>
      <c r="D47" s="288">
        <f>'Du toanthu chi'!E44</f>
        <v>3000</v>
      </c>
      <c r="E47" s="289">
        <f>D47*'[8]thua'!$K$20</f>
        <v>67972500</v>
      </c>
      <c r="F47" s="289">
        <f>D47*'[8]thua'!$M$20</f>
        <v>23027666.953846157</v>
      </c>
      <c r="G47" s="289">
        <f>D47*'[8]thua'!$N$20</f>
        <v>25868677.219082844</v>
      </c>
      <c r="H47" s="289">
        <f>'[8]thua'!$O$20*D47</f>
        <v>13829071.846153848</v>
      </c>
      <c r="I47" s="289">
        <f>D47*'[8]thua'!$P$20</f>
        <v>6081000</v>
      </c>
      <c r="J47" s="290">
        <f t="shared" si="8"/>
        <v>136778916.01908284</v>
      </c>
      <c r="K47" s="239"/>
      <c r="L47" s="238"/>
      <c r="M47" s="239"/>
    </row>
    <row r="48" spans="1:13" s="218" customFormat="1" ht="18" hidden="1">
      <c r="A48" s="282"/>
      <c r="B48" s="283"/>
      <c r="C48" s="250"/>
      <c r="D48" s="250"/>
      <c r="E48" s="251"/>
      <c r="F48" s="269"/>
      <c r="G48" s="268"/>
      <c r="H48" s="269"/>
      <c r="I48" s="268"/>
      <c r="J48" s="269"/>
      <c r="K48" s="268"/>
      <c r="L48" s="269"/>
      <c r="M48" s="268"/>
    </row>
    <row r="49" spans="1:13" s="218" customFormat="1" ht="18" hidden="1">
      <c r="A49" s="227" t="s">
        <v>214</v>
      </c>
      <c r="B49" s="228" t="s">
        <v>129</v>
      </c>
      <c r="C49" s="233"/>
      <c r="D49" s="233"/>
      <c r="E49" s="233"/>
      <c r="F49" s="231"/>
      <c r="G49" s="232"/>
      <c r="H49" s="231"/>
      <c r="I49" s="232"/>
      <c r="J49" s="231"/>
      <c r="K49" s="232"/>
      <c r="L49" s="231"/>
      <c r="M49" s="232"/>
    </row>
    <row r="50" spans="1:13" ht="18" customHeight="1" hidden="1">
      <c r="A50" s="379" t="s">
        <v>59</v>
      </c>
      <c r="B50" s="379"/>
      <c r="C50" s="229"/>
      <c r="D50" s="229"/>
      <c r="E50" s="234"/>
      <c r="F50" s="231"/>
      <c r="G50" s="232"/>
      <c r="H50" s="231"/>
      <c r="I50" s="232"/>
      <c r="J50" s="231"/>
      <c r="K50" s="232"/>
      <c r="L50" s="231"/>
      <c r="M50" s="232"/>
    </row>
    <row r="51" spans="1:13" ht="24" customHeight="1" hidden="1">
      <c r="A51" s="235"/>
      <c r="B51" s="380" t="s">
        <v>228</v>
      </c>
      <c r="C51" s="380"/>
      <c r="D51" s="236"/>
      <c r="E51" s="237"/>
      <c r="F51" s="238"/>
      <c r="G51" s="239"/>
      <c r="H51" s="238"/>
      <c r="I51" s="239"/>
      <c r="J51" s="238"/>
      <c r="K51" s="239"/>
      <c r="L51" s="238"/>
      <c r="M51" s="239"/>
    </row>
    <row r="52" spans="1:7" ht="13.5">
      <c r="A52" s="240"/>
      <c r="B52" s="240"/>
      <c r="C52" s="240"/>
      <c r="D52" s="240"/>
      <c r="E52" s="240"/>
      <c r="F52" s="241"/>
      <c r="G52" s="242"/>
    </row>
    <row r="53" spans="1:7" ht="13.5">
      <c r="A53" s="243"/>
      <c r="B53" s="244"/>
      <c r="C53" s="245"/>
      <c r="D53" s="245"/>
      <c r="E53" s="245"/>
      <c r="F53" s="241"/>
      <c r="G53" s="242"/>
    </row>
    <row r="54" spans="1:7" ht="13.5">
      <c r="A54" s="246"/>
      <c r="B54" s="247"/>
      <c r="C54" s="241"/>
      <c r="D54" s="241"/>
      <c r="E54" s="241"/>
      <c r="F54" s="241"/>
      <c r="G54" s="242"/>
    </row>
    <row r="55" spans="1:7" ht="13.5">
      <c r="A55" s="246"/>
      <c r="B55" s="247"/>
      <c r="C55" s="241"/>
      <c r="D55" s="241"/>
      <c r="E55" s="241"/>
      <c r="F55" s="241"/>
      <c r="G55" s="242"/>
    </row>
    <row r="56" spans="1:7" ht="13.5">
      <c r="A56" s="246"/>
      <c r="B56" s="247"/>
      <c r="C56" s="241"/>
      <c r="D56" s="241"/>
      <c r="E56" s="241"/>
      <c r="F56" s="241"/>
      <c r="G56" s="242"/>
    </row>
    <row r="57" spans="1:7" ht="13.5">
      <c r="A57" s="246"/>
      <c r="B57" s="247"/>
      <c r="C57" s="241"/>
      <c r="D57" s="241"/>
      <c r="E57" s="241"/>
      <c r="F57" s="241"/>
      <c r="G57" s="242"/>
    </row>
    <row r="58" spans="1:7" ht="13.5">
      <c r="A58" s="246"/>
      <c r="B58" s="247"/>
      <c r="C58" s="241"/>
      <c r="D58" s="241"/>
      <c r="E58" s="241"/>
      <c r="F58" s="241"/>
      <c r="G58" s="242"/>
    </row>
    <row r="59" spans="1:7" ht="13.5">
      <c r="A59" s="246"/>
      <c r="B59" s="247"/>
      <c r="C59" s="241"/>
      <c r="D59" s="241"/>
      <c r="E59" s="241"/>
      <c r="F59" s="241"/>
      <c r="G59" s="242"/>
    </row>
    <row r="60" spans="1:7" ht="13.5">
      <c r="A60" s="246"/>
      <c r="B60" s="247"/>
      <c r="C60" s="241"/>
      <c r="D60" s="241"/>
      <c r="E60" s="241"/>
      <c r="F60" s="241"/>
      <c r="G60" s="242"/>
    </row>
    <row r="61" spans="1:7" ht="13.5">
      <c r="A61" s="246"/>
      <c r="B61" s="247"/>
      <c r="C61" s="241"/>
      <c r="D61" s="241"/>
      <c r="E61" s="241"/>
      <c r="F61" s="241"/>
      <c r="G61" s="242"/>
    </row>
    <row r="62" spans="1:7" ht="13.5">
      <c r="A62" s="246"/>
      <c r="B62" s="247"/>
      <c r="C62" s="241"/>
      <c r="D62" s="241"/>
      <c r="E62" s="241"/>
      <c r="F62" s="241"/>
      <c r="G62" s="242"/>
    </row>
    <row r="63" spans="1:7" ht="13.5">
      <c r="A63" s="246"/>
      <c r="B63" s="247"/>
      <c r="C63" s="241"/>
      <c r="D63" s="241"/>
      <c r="E63" s="241"/>
      <c r="F63" s="241"/>
      <c r="G63" s="242"/>
    </row>
    <row r="64" spans="1:7" ht="13.5">
      <c r="A64" s="246"/>
      <c r="B64" s="247"/>
      <c r="C64" s="241"/>
      <c r="D64" s="241"/>
      <c r="E64" s="241"/>
      <c r="F64" s="241"/>
      <c r="G64" s="242"/>
    </row>
    <row r="65" spans="1:7" ht="13.5">
      <c r="A65" s="246"/>
      <c r="B65" s="247"/>
      <c r="C65" s="241"/>
      <c r="D65" s="241"/>
      <c r="E65" s="241"/>
      <c r="F65" s="241"/>
      <c r="G65" s="242"/>
    </row>
    <row r="66" spans="1:7" ht="13.5">
      <c r="A66" s="246"/>
      <c r="B66" s="247"/>
      <c r="C66" s="241"/>
      <c r="D66" s="241"/>
      <c r="E66" s="241"/>
      <c r="F66" s="241"/>
      <c r="G66" s="242"/>
    </row>
    <row r="67" spans="1:7" ht="13.5">
      <c r="A67" s="246"/>
      <c r="B67" s="247"/>
      <c r="C67" s="241"/>
      <c r="D67" s="241"/>
      <c r="E67" s="241"/>
      <c r="F67" s="241"/>
      <c r="G67" s="242"/>
    </row>
    <row r="68" spans="1:7" ht="13.5">
      <c r="A68" s="246"/>
      <c r="B68" s="247"/>
      <c r="C68" s="241"/>
      <c r="D68" s="241"/>
      <c r="E68" s="241"/>
      <c r="F68" s="241"/>
      <c r="G68" s="242"/>
    </row>
    <row r="69" spans="1:7" ht="13.5">
      <c r="A69" s="246"/>
      <c r="B69" s="247"/>
      <c r="C69" s="241"/>
      <c r="D69" s="241"/>
      <c r="E69" s="241"/>
      <c r="F69" s="241"/>
      <c r="G69" s="242"/>
    </row>
    <row r="70" spans="1:7" ht="13.5">
      <c r="A70" s="246"/>
      <c r="B70" s="247"/>
      <c r="C70" s="241"/>
      <c r="D70" s="241"/>
      <c r="E70" s="241"/>
      <c r="F70" s="241"/>
      <c r="G70" s="242"/>
    </row>
    <row r="71" spans="1:7" ht="13.5">
      <c r="A71" s="246"/>
      <c r="B71" s="247"/>
      <c r="C71" s="241"/>
      <c r="D71" s="241"/>
      <c r="E71" s="241"/>
      <c r="F71" s="241"/>
      <c r="G71" s="242"/>
    </row>
    <row r="72" spans="1:7" ht="13.5">
      <c r="A72" s="246"/>
      <c r="B72" s="247"/>
      <c r="C72" s="241"/>
      <c r="D72" s="241"/>
      <c r="E72" s="241"/>
      <c r="F72" s="241"/>
      <c r="G72" s="242"/>
    </row>
    <row r="73" spans="1:7" ht="13.5">
      <c r="A73" s="246"/>
      <c r="B73" s="247"/>
      <c r="C73" s="241"/>
      <c r="D73" s="241"/>
      <c r="E73" s="241"/>
      <c r="F73" s="241"/>
      <c r="G73" s="242"/>
    </row>
    <row r="74" spans="1:7" ht="13.5">
      <c r="A74" s="246"/>
      <c r="B74" s="247"/>
      <c r="C74" s="241"/>
      <c r="D74" s="241"/>
      <c r="E74" s="241"/>
      <c r="F74" s="241"/>
      <c r="G74" s="242"/>
    </row>
    <row r="75" spans="1:7" ht="13.5">
      <c r="A75" s="246"/>
      <c r="B75" s="247"/>
      <c r="C75" s="241"/>
      <c r="D75" s="241"/>
      <c r="E75" s="241"/>
      <c r="F75" s="241"/>
      <c r="G75" s="242"/>
    </row>
    <row r="76" spans="1:7" ht="13.5">
      <c r="A76" s="246"/>
      <c r="B76" s="247"/>
      <c r="C76" s="241"/>
      <c r="D76" s="241"/>
      <c r="E76" s="241"/>
      <c r="F76" s="241"/>
      <c r="G76" s="242"/>
    </row>
    <row r="77" spans="1:7" ht="13.5">
      <c r="A77" s="246"/>
      <c r="B77" s="247"/>
      <c r="C77" s="241"/>
      <c r="D77" s="241"/>
      <c r="E77" s="241"/>
      <c r="F77" s="241"/>
      <c r="G77" s="242"/>
    </row>
    <row r="78" spans="1:7" ht="13.5">
      <c r="A78" s="246"/>
      <c r="B78" s="247"/>
      <c r="C78" s="241"/>
      <c r="D78" s="241"/>
      <c r="E78" s="241"/>
      <c r="F78" s="241"/>
      <c r="G78" s="242"/>
    </row>
    <row r="79" spans="1:7" ht="13.5">
      <c r="A79" s="246"/>
      <c r="B79" s="247"/>
      <c r="C79" s="241"/>
      <c r="D79" s="241"/>
      <c r="E79" s="241"/>
      <c r="F79" s="241"/>
      <c r="G79" s="242"/>
    </row>
    <row r="80" spans="1:7" ht="13.5">
      <c r="A80" s="246"/>
      <c r="B80" s="247"/>
      <c r="C80" s="241"/>
      <c r="D80" s="241"/>
      <c r="E80" s="241"/>
      <c r="F80" s="241"/>
      <c r="G80" s="242"/>
    </row>
    <row r="81" spans="1:7" ht="13.5">
      <c r="A81" s="246"/>
      <c r="B81" s="247"/>
      <c r="C81" s="241"/>
      <c r="D81" s="241"/>
      <c r="E81" s="241"/>
      <c r="F81" s="241"/>
      <c r="G81" s="242"/>
    </row>
    <row r="82" spans="1:7" ht="13.5">
      <c r="A82" s="246"/>
      <c r="B82" s="247"/>
      <c r="C82" s="241"/>
      <c r="D82" s="241"/>
      <c r="E82" s="241"/>
      <c r="F82" s="241"/>
      <c r="G82" s="242"/>
    </row>
    <row r="83" spans="1:7" ht="13.5">
      <c r="A83" s="246"/>
      <c r="B83" s="247"/>
      <c r="C83" s="241"/>
      <c r="D83" s="241"/>
      <c r="E83" s="241"/>
      <c r="F83" s="241"/>
      <c r="G83" s="242"/>
    </row>
    <row r="84" spans="1:7" ht="13.5">
      <c r="A84" s="246"/>
      <c r="B84" s="247"/>
      <c r="C84" s="241"/>
      <c r="D84" s="241"/>
      <c r="E84" s="241"/>
      <c r="F84" s="241"/>
      <c r="G84" s="242"/>
    </row>
    <row r="85" spans="1:7" ht="13.5">
      <c r="A85" s="246"/>
      <c r="B85" s="247"/>
      <c r="C85" s="241"/>
      <c r="D85" s="241"/>
      <c r="E85" s="241"/>
      <c r="F85" s="241"/>
      <c r="G85" s="242"/>
    </row>
    <row r="86" spans="1:7" ht="13.5">
      <c r="A86" s="246"/>
      <c r="B86" s="247"/>
      <c r="C86" s="241"/>
      <c r="D86" s="241"/>
      <c r="E86" s="241"/>
      <c r="F86" s="241"/>
      <c r="G86" s="242"/>
    </row>
    <row r="87" spans="1:7" ht="13.5">
      <c r="A87" s="246"/>
      <c r="B87" s="247"/>
      <c r="C87" s="241"/>
      <c r="D87" s="241"/>
      <c r="E87" s="241"/>
      <c r="F87" s="241"/>
      <c r="G87" s="242"/>
    </row>
    <row r="88" spans="1:7" ht="13.5">
      <c r="A88" s="246"/>
      <c r="B88" s="247"/>
      <c r="C88" s="241"/>
      <c r="D88" s="241"/>
      <c r="E88" s="241"/>
      <c r="F88" s="241"/>
      <c r="G88" s="242"/>
    </row>
    <row r="89" spans="1:7" ht="13.5">
      <c r="A89" s="246"/>
      <c r="B89" s="247"/>
      <c r="C89" s="241"/>
      <c r="D89" s="241"/>
      <c r="E89" s="241"/>
      <c r="F89" s="241"/>
      <c r="G89" s="242"/>
    </row>
    <row r="90" spans="1:7" ht="13.5">
      <c r="A90" s="246"/>
      <c r="B90" s="247"/>
      <c r="C90" s="241"/>
      <c r="D90" s="241"/>
      <c r="E90" s="241"/>
      <c r="F90" s="241"/>
      <c r="G90" s="242"/>
    </row>
    <row r="91" spans="1:7" ht="13.5">
      <c r="A91" s="246"/>
      <c r="B91" s="247"/>
      <c r="C91" s="241"/>
      <c r="D91" s="241"/>
      <c r="E91" s="241"/>
      <c r="F91" s="241"/>
      <c r="G91" s="242"/>
    </row>
    <row r="92" spans="1:7" ht="13.5">
      <c r="A92" s="246"/>
      <c r="B92" s="247"/>
      <c r="C92" s="241"/>
      <c r="D92" s="241"/>
      <c r="E92" s="241"/>
      <c r="F92" s="241"/>
      <c r="G92" s="242"/>
    </row>
    <row r="93" spans="1:7" ht="13.5">
      <c r="A93" s="246"/>
      <c r="B93" s="247"/>
      <c r="C93" s="241"/>
      <c r="D93" s="241"/>
      <c r="E93" s="241"/>
      <c r="F93" s="241"/>
      <c r="G93" s="242"/>
    </row>
    <row r="94" spans="1:7" ht="13.5">
      <c r="A94" s="246"/>
      <c r="B94" s="247"/>
      <c r="C94" s="241"/>
      <c r="D94" s="241"/>
      <c r="E94" s="241"/>
      <c r="F94" s="241"/>
      <c r="G94" s="242"/>
    </row>
    <row r="95" spans="1:7" ht="13.5">
      <c r="A95" s="246"/>
      <c r="B95" s="247"/>
      <c r="C95" s="241"/>
      <c r="D95" s="241"/>
      <c r="E95" s="241"/>
      <c r="F95" s="241"/>
      <c r="G95" s="242"/>
    </row>
    <row r="96" spans="1:7" ht="13.5">
      <c r="A96" s="246"/>
      <c r="B96" s="247"/>
      <c r="C96" s="241"/>
      <c r="D96" s="241"/>
      <c r="E96" s="241"/>
      <c r="F96" s="241"/>
      <c r="G96" s="242"/>
    </row>
    <row r="97" spans="1:7" ht="13.5">
      <c r="A97" s="246"/>
      <c r="B97" s="247"/>
      <c r="C97" s="241"/>
      <c r="D97" s="241"/>
      <c r="E97" s="241"/>
      <c r="F97" s="241"/>
      <c r="G97" s="242"/>
    </row>
    <row r="98" spans="1:7" ht="13.5">
      <c r="A98" s="246"/>
      <c r="B98" s="247"/>
      <c r="C98" s="241"/>
      <c r="D98" s="241"/>
      <c r="E98" s="241"/>
      <c r="F98" s="241"/>
      <c r="G98" s="242"/>
    </row>
    <row r="99" spans="1:7" ht="13.5">
      <c r="A99" s="246"/>
      <c r="B99" s="247"/>
      <c r="C99" s="241"/>
      <c r="D99" s="241"/>
      <c r="E99" s="241"/>
      <c r="F99" s="241"/>
      <c r="G99" s="242"/>
    </row>
    <row r="100" spans="1:7" ht="13.5">
      <c r="A100" s="246"/>
      <c r="B100" s="247"/>
      <c r="C100" s="241"/>
      <c r="D100" s="241"/>
      <c r="E100" s="241"/>
      <c r="F100" s="241"/>
      <c r="G100" s="242"/>
    </row>
    <row r="101" spans="1:7" ht="13.5">
      <c r="A101" s="246"/>
      <c r="B101" s="247"/>
      <c r="C101" s="241"/>
      <c r="D101" s="241"/>
      <c r="E101" s="241"/>
      <c r="F101" s="241"/>
      <c r="G101" s="242"/>
    </row>
    <row r="102" spans="1:7" ht="13.5">
      <c r="A102" s="246"/>
      <c r="B102" s="247"/>
      <c r="C102" s="241"/>
      <c r="D102" s="241"/>
      <c r="E102" s="241"/>
      <c r="F102" s="241"/>
      <c r="G102" s="242"/>
    </row>
    <row r="103" spans="1:7" ht="13.5">
      <c r="A103" s="246"/>
      <c r="B103" s="247"/>
      <c r="C103" s="241"/>
      <c r="D103" s="241"/>
      <c r="E103" s="241"/>
      <c r="F103" s="241"/>
      <c r="G103" s="242"/>
    </row>
    <row r="104" spans="1:7" ht="13.5">
      <c r="A104" s="246"/>
      <c r="B104" s="247"/>
      <c r="C104" s="241"/>
      <c r="D104" s="241"/>
      <c r="E104" s="241"/>
      <c r="F104" s="241"/>
      <c r="G104" s="242"/>
    </row>
    <row r="105" spans="1:7" ht="13.5">
      <c r="A105" s="246"/>
      <c r="B105" s="247"/>
      <c r="C105" s="241"/>
      <c r="D105" s="241"/>
      <c r="E105" s="241"/>
      <c r="F105" s="241"/>
      <c r="G105" s="242"/>
    </row>
    <row r="106" spans="1:7" ht="13.5">
      <c r="A106" s="246"/>
      <c r="B106" s="247"/>
      <c r="C106" s="241"/>
      <c r="D106" s="241"/>
      <c r="E106" s="241"/>
      <c r="F106" s="241"/>
      <c r="G106" s="242"/>
    </row>
    <row r="107" spans="1:7" ht="13.5">
      <c r="A107" s="246"/>
      <c r="B107" s="247"/>
      <c r="C107" s="241"/>
      <c r="D107" s="241"/>
      <c r="E107" s="241"/>
      <c r="F107" s="241"/>
      <c r="G107" s="242"/>
    </row>
    <row r="108" spans="1:7" ht="13.5">
      <c r="A108" s="246"/>
      <c r="B108" s="247"/>
      <c r="C108" s="241"/>
      <c r="D108" s="241"/>
      <c r="E108" s="241"/>
      <c r="F108" s="241"/>
      <c r="G108" s="242"/>
    </row>
    <row r="109" spans="1:7" ht="13.5">
      <c r="A109" s="246"/>
      <c r="B109" s="247"/>
      <c r="C109" s="241"/>
      <c r="D109" s="241"/>
      <c r="E109" s="241"/>
      <c r="F109" s="241"/>
      <c r="G109" s="242"/>
    </row>
    <row r="110" spans="1:7" ht="13.5">
      <c r="A110" s="246"/>
      <c r="B110" s="247"/>
      <c r="C110" s="241"/>
      <c r="D110" s="241"/>
      <c r="E110" s="241"/>
      <c r="F110" s="241"/>
      <c r="G110" s="242"/>
    </row>
    <row r="111" spans="1:7" ht="13.5">
      <c r="A111" s="246"/>
      <c r="B111" s="247"/>
      <c r="C111" s="241"/>
      <c r="D111" s="241"/>
      <c r="E111" s="241"/>
      <c r="F111" s="241"/>
      <c r="G111" s="242"/>
    </row>
    <row r="112" spans="1:7" ht="13.5">
      <c r="A112" s="246"/>
      <c r="B112" s="247"/>
      <c r="C112" s="241"/>
      <c r="D112" s="241"/>
      <c r="E112" s="241"/>
      <c r="F112" s="241"/>
      <c r="G112" s="242"/>
    </row>
    <row r="113" spans="1:7" ht="13.5">
      <c r="A113" s="246"/>
      <c r="B113" s="247"/>
      <c r="C113" s="241"/>
      <c r="D113" s="241"/>
      <c r="E113" s="241"/>
      <c r="F113" s="241"/>
      <c r="G113" s="242"/>
    </row>
    <row r="114" spans="1:7" ht="13.5">
      <c r="A114" s="246"/>
      <c r="B114" s="247"/>
      <c r="C114" s="241"/>
      <c r="D114" s="241"/>
      <c r="E114" s="241"/>
      <c r="F114" s="241"/>
      <c r="G114" s="242"/>
    </row>
    <row r="115" spans="1:7" ht="13.5">
      <c r="A115" s="246"/>
      <c r="B115" s="247"/>
      <c r="C115" s="241"/>
      <c r="D115" s="241"/>
      <c r="E115" s="241"/>
      <c r="F115" s="241"/>
      <c r="G115" s="242"/>
    </row>
    <row r="116" spans="1:7" ht="13.5">
      <c r="A116" s="246"/>
      <c r="B116" s="247"/>
      <c r="C116" s="241"/>
      <c r="D116" s="241"/>
      <c r="E116" s="241"/>
      <c r="F116" s="241"/>
      <c r="G116" s="242"/>
    </row>
    <row r="117" spans="1:7" ht="13.5">
      <c r="A117" s="246"/>
      <c r="B117" s="247"/>
      <c r="C117" s="241"/>
      <c r="D117" s="241"/>
      <c r="E117" s="241"/>
      <c r="F117" s="241"/>
      <c r="G117" s="242"/>
    </row>
    <row r="118" spans="1:7" ht="13.5">
      <c r="A118" s="246"/>
      <c r="B118" s="247"/>
      <c r="C118" s="241"/>
      <c r="D118" s="241"/>
      <c r="E118" s="241"/>
      <c r="F118" s="241"/>
      <c r="G118" s="242"/>
    </row>
    <row r="119" spans="1:7" ht="13.5">
      <c r="A119" s="246"/>
      <c r="B119" s="247"/>
      <c r="C119" s="241"/>
      <c r="D119" s="241"/>
      <c r="E119" s="241"/>
      <c r="F119" s="241"/>
      <c r="G119" s="242"/>
    </row>
    <row r="120" spans="1:7" ht="13.5">
      <c r="A120" s="246"/>
      <c r="B120" s="247"/>
      <c r="C120" s="241"/>
      <c r="D120" s="241"/>
      <c r="E120" s="241"/>
      <c r="F120" s="241"/>
      <c r="G120" s="242"/>
    </row>
    <row r="121" spans="1:7" ht="13.5">
      <c r="A121" s="246"/>
      <c r="B121" s="247"/>
      <c r="C121" s="241"/>
      <c r="D121" s="241"/>
      <c r="E121" s="241"/>
      <c r="F121" s="241"/>
      <c r="G121" s="242"/>
    </row>
    <row r="122" spans="1:7" ht="13.5">
      <c r="A122" s="246"/>
      <c r="B122" s="247"/>
      <c r="C122" s="241"/>
      <c r="D122" s="241"/>
      <c r="E122" s="241"/>
      <c r="F122" s="241"/>
      <c r="G122" s="242"/>
    </row>
    <row r="123" spans="1:7" ht="13.5">
      <c r="A123" s="246"/>
      <c r="B123" s="247"/>
      <c r="C123" s="241"/>
      <c r="D123" s="241"/>
      <c r="E123" s="241"/>
      <c r="F123" s="241"/>
      <c r="G123" s="242"/>
    </row>
    <row r="124" spans="1:7" ht="13.5">
      <c r="A124" s="246"/>
      <c r="B124" s="247"/>
      <c r="C124" s="241"/>
      <c r="D124" s="241"/>
      <c r="E124" s="241"/>
      <c r="F124" s="241"/>
      <c r="G124" s="242"/>
    </row>
    <row r="125" spans="1:7" ht="13.5">
      <c r="A125" s="246"/>
      <c r="B125" s="247"/>
      <c r="C125" s="241"/>
      <c r="D125" s="241"/>
      <c r="E125" s="241"/>
      <c r="F125" s="241"/>
      <c r="G125" s="242"/>
    </row>
    <row r="126" spans="1:7" ht="13.5">
      <c r="A126" s="246"/>
      <c r="B126" s="247"/>
      <c r="C126" s="241"/>
      <c r="D126" s="241"/>
      <c r="E126" s="241"/>
      <c r="F126" s="241"/>
      <c r="G126" s="242"/>
    </row>
    <row r="127" spans="1:7" ht="13.5">
      <c r="A127" s="246"/>
      <c r="B127" s="247"/>
      <c r="C127" s="241"/>
      <c r="D127" s="241"/>
      <c r="E127" s="241"/>
      <c r="F127" s="241"/>
      <c r="G127" s="242"/>
    </row>
    <row r="128" spans="1:7" ht="13.5">
      <c r="A128" s="246"/>
      <c r="B128" s="247"/>
      <c r="C128" s="241"/>
      <c r="D128" s="241"/>
      <c r="E128" s="241"/>
      <c r="F128" s="241"/>
      <c r="G128" s="242"/>
    </row>
    <row r="129" spans="1:7" ht="13.5">
      <c r="A129" s="246"/>
      <c r="B129" s="247"/>
      <c r="C129" s="241"/>
      <c r="D129" s="241"/>
      <c r="E129" s="241"/>
      <c r="F129" s="241"/>
      <c r="G129" s="242"/>
    </row>
    <row r="130" spans="1:7" ht="13.5">
      <c r="A130" s="246"/>
      <c r="B130" s="247"/>
      <c r="C130" s="241"/>
      <c r="D130" s="241"/>
      <c r="E130" s="241"/>
      <c r="F130" s="241"/>
      <c r="G130" s="242"/>
    </row>
    <row r="131" spans="1:7" ht="13.5">
      <c r="A131" s="246"/>
      <c r="B131" s="247"/>
      <c r="C131" s="241"/>
      <c r="D131" s="241"/>
      <c r="E131" s="241"/>
      <c r="F131" s="241"/>
      <c r="G131" s="242"/>
    </row>
    <row r="132" spans="1:7" ht="13.5">
      <c r="A132" s="246"/>
      <c r="B132" s="247"/>
      <c r="C132" s="241"/>
      <c r="D132" s="241"/>
      <c r="E132" s="241"/>
      <c r="F132" s="241"/>
      <c r="G132" s="242"/>
    </row>
    <row r="133" spans="1:7" ht="13.5">
      <c r="A133" s="246"/>
      <c r="B133" s="247"/>
      <c r="C133" s="241"/>
      <c r="D133" s="241"/>
      <c r="E133" s="241"/>
      <c r="F133" s="241"/>
      <c r="G133" s="242"/>
    </row>
    <row r="134" spans="1:7" ht="13.5">
      <c r="A134" s="246"/>
      <c r="B134" s="247"/>
      <c r="C134" s="241"/>
      <c r="D134" s="241"/>
      <c r="E134" s="241"/>
      <c r="F134" s="241"/>
      <c r="G134" s="242"/>
    </row>
    <row r="135" spans="1:7" ht="13.5">
      <c r="A135" s="246"/>
      <c r="B135" s="247"/>
      <c r="C135" s="241"/>
      <c r="D135" s="241"/>
      <c r="E135" s="241"/>
      <c r="F135" s="241"/>
      <c r="G135" s="242"/>
    </row>
    <row r="136" spans="1:7" ht="13.5">
      <c r="A136" s="246"/>
      <c r="B136" s="247"/>
      <c r="C136" s="241"/>
      <c r="D136" s="241"/>
      <c r="E136" s="241"/>
      <c r="F136" s="241"/>
      <c r="G136" s="242"/>
    </row>
    <row r="137" spans="1:7" ht="13.5">
      <c r="A137" s="246"/>
      <c r="B137" s="247"/>
      <c r="C137" s="241"/>
      <c r="D137" s="241"/>
      <c r="E137" s="241"/>
      <c r="F137" s="241"/>
      <c r="G137" s="242"/>
    </row>
    <row r="138" spans="1:7" ht="13.5">
      <c r="A138" s="246"/>
      <c r="B138" s="247"/>
      <c r="C138" s="241"/>
      <c r="D138" s="241"/>
      <c r="E138" s="241"/>
      <c r="F138" s="241"/>
      <c r="G138" s="242"/>
    </row>
    <row r="139" spans="1:7" ht="13.5">
      <c r="A139" s="246"/>
      <c r="B139" s="247"/>
      <c r="C139" s="241"/>
      <c r="D139" s="241"/>
      <c r="E139" s="241"/>
      <c r="F139" s="241"/>
      <c r="G139" s="242"/>
    </row>
    <row r="140" spans="1:7" ht="13.5">
      <c r="A140" s="246"/>
      <c r="B140" s="247"/>
      <c r="C140" s="241"/>
      <c r="D140" s="241"/>
      <c r="E140" s="241"/>
      <c r="F140" s="241"/>
      <c r="G140" s="242"/>
    </row>
    <row r="141" spans="1:5" ht="13.5">
      <c r="A141" s="246"/>
      <c r="B141" s="247"/>
      <c r="C141" s="241"/>
      <c r="D141" s="241"/>
      <c r="E141" s="241"/>
    </row>
    <row r="142" spans="1:5" ht="13.5">
      <c r="A142" s="246"/>
      <c r="B142" s="247"/>
      <c r="C142" s="241"/>
      <c r="D142" s="241"/>
      <c r="E142" s="241"/>
    </row>
    <row r="143" spans="1:5" ht="13.5">
      <c r="A143" s="246"/>
      <c r="B143" s="247"/>
      <c r="C143" s="241"/>
      <c r="D143" s="241"/>
      <c r="E143" s="241"/>
    </row>
    <row r="144" spans="1:5" ht="13.5">
      <c r="A144" s="246"/>
      <c r="B144" s="247"/>
      <c r="C144" s="241"/>
      <c r="D144" s="241"/>
      <c r="E144" s="241"/>
    </row>
    <row r="145" spans="1:5" ht="13.5">
      <c r="A145" s="246"/>
      <c r="B145" s="247"/>
      <c r="C145" s="241"/>
      <c r="D145" s="241"/>
      <c r="E145" s="241"/>
    </row>
    <row r="146" spans="1:5" ht="13.5">
      <c r="A146" s="246"/>
      <c r="B146" s="247"/>
      <c r="C146" s="241"/>
      <c r="D146" s="241"/>
      <c r="E146" s="241"/>
    </row>
    <row r="147" spans="1:5" ht="13.5">
      <c r="A147" s="246"/>
      <c r="B147" s="247"/>
      <c r="C147" s="241"/>
      <c r="D147" s="241"/>
      <c r="E147" s="241"/>
    </row>
    <row r="148" spans="1:5" ht="13.5">
      <c r="A148" s="246"/>
      <c r="B148" s="247"/>
      <c r="C148" s="241"/>
      <c r="D148" s="241"/>
      <c r="E148" s="241"/>
    </row>
    <row r="149" spans="1:5" ht="13.5">
      <c r="A149" s="246"/>
      <c r="B149" s="247"/>
      <c r="C149" s="241"/>
      <c r="D149" s="241"/>
      <c r="E149" s="241"/>
    </row>
    <row r="150" spans="1:5" ht="13.5">
      <c r="A150" s="246"/>
      <c r="B150" s="247"/>
      <c r="C150" s="241"/>
      <c r="D150" s="241"/>
      <c r="E150" s="241"/>
    </row>
    <row r="151" spans="1:5" ht="13.5">
      <c r="A151" s="246"/>
      <c r="B151" s="247"/>
      <c r="C151" s="241"/>
      <c r="D151" s="241"/>
      <c r="E151" s="241"/>
    </row>
    <row r="152" spans="1:5" ht="13.5">
      <c r="A152" s="246"/>
      <c r="B152" s="247"/>
      <c r="C152" s="241"/>
      <c r="D152" s="241"/>
      <c r="E152" s="241"/>
    </row>
    <row r="153" spans="1:5" ht="13.5">
      <c r="A153" s="246"/>
      <c r="B153" s="247"/>
      <c r="C153" s="241"/>
      <c r="D153" s="241"/>
      <c r="E153" s="241"/>
    </row>
    <row r="154" spans="1:14" s="212" customFormat="1" ht="13.5">
      <c r="A154" s="246"/>
      <c r="B154" s="247"/>
      <c r="C154" s="241"/>
      <c r="D154" s="241"/>
      <c r="E154" s="241"/>
      <c r="G154" s="213"/>
      <c r="H154" s="213"/>
      <c r="I154" s="213"/>
      <c r="J154" s="213"/>
      <c r="K154" s="213"/>
      <c r="L154" s="213"/>
      <c r="M154" s="213"/>
      <c r="N154" s="213"/>
    </row>
    <row r="155" spans="1:14" s="212" customFormat="1" ht="13.5">
      <c r="A155" s="246"/>
      <c r="B155" s="247"/>
      <c r="C155" s="241"/>
      <c r="D155" s="241"/>
      <c r="E155" s="241"/>
      <c r="G155" s="213"/>
      <c r="H155" s="213"/>
      <c r="I155" s="213"/>
      <c r="J155" s="213"/>
      <c r="K155" s="213"/>
      <c r="L155" s="213"/>
      <c r="M155" s="213"/>
      <c r="N155" s="213"/>
    </row>
    <row r="156" spans="1:14" s="212" customFormat="1" ht="13.5">
      <c r="A156" s="246"/>
      <c r="B156" s="247"/>
      <c r="C156" s="241"/>
      <c r="D156" s="241"/>
      <c r="E156" s="241"/>
      <c r="G156" s="213"/>
      <c r="H156" s="213"/>
      <c r="I156" s="213"/>
      <c r="J156" s="213"/>
      <c r="K156" s="213"/>
      <c r="L156" s="213"/>
      <c r="M156" s="213"/>
      <c r="N156" s="213"/>
    </row>
    <row r="157" spans="1:14" s="212" customFormat="1" ht="13.5">
      <c r="A157" s="246"/>
      <c r="B157" s="247"/>
      <c r="C157" s="241"/>
      <c r="D157" s="241"/>
      <c r="E157" s="241"/>
      <c r="G157" s="213"/>
      <c r="H157" s="213"/>
      <c r="I157" s="213"/>
      <c r="J157" s="213"/>
      <c r="K157" s="213"/>
      <c r="L157" s="213"/>
      <c r="M157" s="213"/>
      <c r="N157" s="213"/>
    </row>
    <row r="158" spans="1:14" s="212" customFormat="1" ht="13.5">
      <c r="A158" s="246"/>
      <c r="B158" s="247"/>
      <c r="C158" s="241"/>
      <c r="D158" s="241"/>
      <c r="E158" s="241"/>
      <c r="G158" s="213"/>
      <c r="H158" s="213"/>
      <c r="I158" s="213"/>
      <c r="J158" s="213"/>
      <c r="K158" s="213"/>
      <c r="L158" s="213"/>
      <c r="M158" s="213"/>
      <c r="N158" s="213"/>
    </row>
    <row r="159" spans="1:14" s="212" customFormat="1" ht="13.5">
      <c r="A159" s="246"/>
      <c r="B159" s="247"/>
      <c r="C159" s="241"/>
      <c r="D159" s="241"/>
      <c r="E159" s="241"/>
      <c r="G159" s="213"/>
      <c r="H159" s="213"/>
      <c r="I159" s="213"/>
      <c r="J159" s="213"/>
      <c r="K159" s="213"/>
      <c r="L159" s="213"/>
      <c r="M159" s="213"/>
      <c r="N159" s="213"/>
    </row>
    <row r="160" spans="1:14" s="212" customFormat="1" ht="13.5">
      <c r="A160" s="246"/>
      <c r="B160" s="247"/>
      <c r="C160" s="241"/>
      <c r="D160" s="241"/>
      <c r="E160" s="241"/>
      <c r="G160" s="213"/>
      <c r="H160" s="213"/>
      <c r="I160" s="213"/>
      <c r="J160" s="213"/>
      <c r="K160" s="213"/>
      <c r="L160" s="213"/>
      <c r="M160" s="213"/>
      <c r="N160" s="213"/>
    </row>
    <row r="161" spans="1:14" s="212" customFormat="1" ht="13.5">
      <c r="A161" s="246"/>
      <c r="B161" s="247"/>
      <c r="C161" s="241"/>
      <c r="D161" s="241"/>
      <c r="E161" s="241"/>
      <c r="G161" s="213"/>
      <c r="H161" s="213"/>
      <c r="I161" s="213"/>
      <c r="J161" s="213"/>
      <c r="K161" s="213"/>
      <c r="L161" s="213"/>
      <c r="M161" s="213"/>
      <c r="N161" s="213"/>
    </row>
    <row r="162" spans="1:14" s="212" customFormat="1" ht="13.5">
      <c r="A162" s="246"/>
      <c r="B162" s="247"/>
      <c r="C162" s="241"/>
      <c r="D162" s="241"/>
      <c r="E162" s="241"/>
      <c r="G162" s="213"/>
      <c r="H162" s="213"/>
      <c r="I162" s="213"/>
      <c r="J162" s="213"/>
      <c r="K162" s="213"/>
      <c r="L162" s="213"/>
      <c r="M162" s="213"/>
      <c r="N162" s="213"/>
    </row>
    <row r="163" spans="1:14" s="212" customFormat="1" ht="13.5">
      <c r="A163" s="246"/>
      <c r="B163" s="247"/>
      <c r="C163" s="241"/>
      <c r="D163" s="241"/>
      <c r="E163" s="241"/>
      <c r="G163" s="213"/>
      <c r="H163" s="213"/>
      <c r="I163" s="213"/>
      <c r="J163" s="213"/>
      <c r="K163" s="213"/>
      <c r="L163" s="213"/>
      <c r="M163" s="213"/>
      <c r="N163" s="213"/>
    </row>
    <row r="164" spans="1:14" s="212" customFormat="1" ht="13.5">
      <c r="A164" s="246"/>
      <c r="B164" s="247"/>
      <c r="C164" s="241"/>
      <c r="D164" s="241"/>
      <c r="E164" s="241"/>
      <c r="G164" s="213"/>
      <c r="H164" s="213"/>
      <c r="I164" s="213"/>
      <c r="J164" s="213"/>
      <c r="K164" s="213"/>
      <c r="L164" s="213"/>
      <c r="M164" s="213"/>
      <c r="N164" s="213"/>
    </row>
    <row r="165" spans="1:14" s="212" customFormat="1" ht="13.5">
      <c r="A165" s="246"/>
      <c r="B165" s="247"/>
      <c r="C165" s="241"/>
      <c r="D165" s="241"/>
      <c r="E165" s="241"/>
      <c r="G165" s="213"/>
      <c r="H165" s="213"/>
      <c r="I165" s="213"/>
      <c r="J165" s="213"/>
      <c r="K165" s="213"/>
      <c r="L165" s="213"/>
      <c r="M165" s="213"/>
      <c r="N165" s="213"/>
    </row>
    <row r="166" spans="1:14" s="212" customFormat="1" ht="13.5">
      <c r="A166" s="246"/>
      <c r="B166" s="247"/>
      <c r="C166" s="241"/>
      <c r="D166" s="241"/>
      <c r="E166" s="241"/>
      <c r="G166" s="213"/>
      <c r="H166" s="213"/>
      <c r="I166" s="213"/>
      <c r="J166" s="213"/>
      <c r="K166" s="213"/>
      <c r="L166" s="213"/>
      <c r="M166" s="213"/>
      <c r="N166" s="213"/>
    </row>
    <row r="167" spans="1:14" s="212" customFormat="1" ht="13.5">
      <c r="A167" s="246"/>
      <c r="B167" s="247"/>
      <c r="C167" s="241"/>
      <c r="D167" s="241"/>
      <c r="E167" s="241"/>
      <c r="G167" s="213"/>
      <c r="H167" s="213"/>
      <c r="I167" s="213"/>
      <c r="J167" s="213"/>
      <c r="K167" s="213"/>
      <c r="L167" s="213"/>
      <c r="M167" s="213"/>
      <c r="N167" s="213"/>
    </row>
    <row r="168" spans="1:14" s="212" customFormat="1" ht="13.5">
      <c r="A168" s="246"/>
      <c r="B168" s="247"/>
      <c r="C168" s="241"/>
      <c r="D168" s="241"/>
      <c r="E168" s="241"/>
      <c r="G168" s="213"/>
      <c r="H168" s="213"/>
      <c r="I168" s="213"/>
      <c r="J168" s="213"/>
      <c r="K168" s="213"/>
      <c r="L168" s="213"/>
      <c r="M168" s="213"/>
      <c r="N168" s="213"/>
    </row>
    <row r="169" spans="1:14" s="212" customFormat="1" ht="13.5">
      <c r="A169" s="246"/>
      <c r="B169" s="247"/>
      <c r="C169" s="241"/>
      <c r="D169" s="241"/>
      <c r="E169" s="241"/>
      <c r="G169" s="213"/>
      <c r="H169" s="213"/>
      <c r="I169" s="213"/>
      <c r="J169" s="213"/>
      <c r="K169" s="213"/>
      <c r="L169" s="213"/>
      <c r="M169" s="213"/>
      <c r="N169" s="213"/>
    </row>
    <row r="170" spans="1:14" s="212" customFormat="1" ht="13.5">
      <c r="A170" s="246"/>
      <c r="B170" s="247"/>
      <c r="C170" s="241"/>
      <c r="D170" s="241"/>
      <c r="E170" s="241"/>
      <c r="G170" s="213"/>
      <c r="H170" s="213"/>
      <c r="I170" s="213"/>
      <c r="J170" s="213"/>
      <c r="K170" s="213"/>
      <c r="L170" s="213"/>
      <c r="M170" s="213"/>
      <c r="N170" s="213"/>
    </row>
    <row r="171" spans="1:14" s="212" customFormat="1" ht="13.5">
      <c r="A171" s="246"/>
      <c r="B171" s="247"/>
      <c r="C171" s="241"/>
      <c r="D171" s="241"/>
      <c r="E171" s="241"/>
      <c r="G171" s="213"/>
      <c r="H171" s="213"/>
      <c r="I171" s="213"/>
      <c r="J171" s="213"/>
      <c r="K171" s="213"/>
      <c r="L171" s="213"/>
      <c r="M171" s="213"/>
      <c r="N171" s="213"/>
    </row>
    <row r="172" spans="1:14" s="212" customFormat="1" ht="13.5">
      <c r="A172" s="246"/>
      <c r="B172" s="247"/>
      <c r="C172" s="241"/>
      <c r="D172" s="241"/>
      <c r="E172" s="241"/>
      <c r="G172" s="213"/>
      <c r="H172" s="213"/>
      <c r="I172" s="213"/>
      <c r="J172" s="213"/>
      <c r="K172" s="213"/>
      <c r="L172" s="213"/>
      <c r="M172" s="213"/>
      <c r="N172" s="213"/>
    </row>
    <row r="173" spans="1:14" s="212" customFormat="1" ht="13.5">
      <c r="A173" s="246"/>
      <c r="B173" s="247"/>
      <c r="C173" s="241"/>
      <c r="D173" s="241"/>
      <c r="E173" s="241"/>
      <c r="G173" s="213"/>
      <c r="H173" s="213"/>
      <c r="I173" s="213"/>
      <c r="J173" s="213"/>
      <c r="K173" s="213"/>
      <c r="L173" s="213"/>
      <c r="M173" s="213"/>
      <c r="N173" s="213"/>
    </row>
    <row r="174" spans="1:14" s="212" customFormat="1" ht="13.5">
      <c r="A174" s="246"/>
      <c r="B174" s="247"/>
      <c r="C174" s="241"/>
      <c r="D174" s="241"/>
      <c r="E174" s="241"/>
      <c r="G174" s="213"/>
      <c r="H174" s="213"/>
      <c r="I174" s="213"/>
      <c r="J174" s="213"/>
      <c r="K174" s="213"/>
      <c r="L174" s="213"/>
      <c r="M174" s="213"/>
      <c r="N174" s="213"/>
    </row>
    <row r="175" spans="1:14" s="212" customFormat="1" ht="13.5">
      <c r="A175" s="246"/>
      <c r="B175" s="247"/>
      <c r="C175" s="241"/>
      <c r="D175" s="241"/>
      <c r="E175" s="241"/>
      <c r="G175" s="213"/>
      <c r="H175" s="213"/>
      <c r="I175" s="213"/>
      <c r="J175" s="213"/>
      <c r="K175" s="213"/>
      <c r="L175" s="213"/>
      <c r="M175" s="213"/>
      <c r="N175" s="213"/>
    </row>
    <row r="176" spans="1:14" s="212" customFormat="1" ht="13.5">
      <c r="A176" s="246"/>
      <c r="B176" s="247"/>
      <c r="C176" s="241"/>
      <c r="D176" s="241"/>
      <c r="E176" s="241"/>
      <c r="G176" s="213"/>
      <c r="H176" s="213"/>
      <c r="I176" s="213"/>
      <c r="J176" s="213"/>
      <c r="K176" s="213"/>
      <c r="L176" s="213"/>
      <c r="M176" s="213"/>
      <c r="N176" s="213"/>
    </row>
    <row r="177" spans="1:14" s="212" customFormat="1" ht="13.5">
      <c r="A177" s="246"/>
      <c r="B177" s="247"/>
      <c r="C177" s="241"/>
      <c r="D177" s="241"/>
      <c r="E177" s="241"/>
      <c r="G177" s="213"/>
      <c r="H177" s="213"/>
      <c r="I177" s="213"/>
      <c r="J177" s="213"/>
      <c r="K177" s="213"/>
      <c r="L177" s="213"/>
      <c r="M177" s="213"/>
      <c r="N177" s="213"/>
    </row>
    <row r="178" spans="1:14" s="212" customFormat="1" ht="13.5">
      <c r="A178" s="246"/>
      <c r="B178" s="247"/>
      <c r="C178" s="241"/>
      <c r="D178" s="241"/>
      <c r="E178" s="241"/>
      <c r="G178" s="213"/>
      <c r="H178" s="213"/>
      <c r="I178" s="213"/>
      <c r="J178" s="213"/>
      <c r="K178" s="213"/>
      <c r="L178" s="213"/>
      <c r="M178" s="213"/>
      <c r="N178" s="213"/>
    </row>
    <row r="179" spans="1:14" s="212" customFormat="1" ht="13.5">
      <c r="A179" s="246"/>
      <c r="B179" s="247"/>
      <c r="C179" s="241"/>
      <c r="D179" s="241"/>
      <c r="E179" s="241"/>
      <c r="G179" s="213"/>
      <c r="H179" s="213"/>
      <c r="I179" s="213"/>
      <c r="J179" s="213"/>
      <c r="K179" s="213"/>
      <c r="L179" s="213"/>
      <c r="M179" s="213"/>
      <c r="N179" s="213"/>
    </row>
    <row r="180" spans="1:14" s="212" customFormat="1" ht="13.5">
      <c r="A180" s="246"/>
      <c r="B180" s="247"/>
      <c r="C180" s="241"/>
      <c r="D180" s="241"/>
      <c r="E180" s="241"/>
      <c r="G180" s="213"/>
      <c r="H180" s="213"/>
      <c r="I180" s="213"/>
      <c r="J180" s="213"/>
      <c r="K180" s="213"/>
      <c r="L180" s="213"/>
      <c r="M180" s="213"/>
      <c r="N180" s="213"/>
    </row>
    <row r="181" spans="1:14" s="212" customFormat="1" ht="13.5">
      <c r="A181" s="246"/>
      <c r="B181" s="247"/>
      <c r="C181" s="241"/>
      <c r="D181" s="241"/>
      <c r="E181" s="241"/>
      <c r="G181" s="213"/>
      <c r="H181" s="213"/>
      <c r="I181" s="213"/>
      <c r="J181" s="213"/>
      <c r="K181" s="213"/>
      <c r="L181" s="213"/>
      <c r="M181" s="213"/>
      <c r="N181" s="213"/>
    </row>
    <row r="182" spans="1:14" s="212" customFormat="1" ht="13.5">
      <c r="A182" s="246"/>
      <c r="B182" s="247"/>
      <c r="C182" s="241"/>
      <c r="D182" s="241"/>
      <c r="E182" s="241"/>
      <c r="G182" s="213"/>
      <c r="H182" s="213"/>
      <c r="I182" s="213"/>
      <c r="J182" s="213"/>
      <c r="K182" s="213"/>
      <c r="L182" s="213"/>
      <c r="M182" s="213"/>
      <c r="N182" s="213"/>
    </row>
    <row r="183" spans="1:14" s="212" customFormat="1" ht="13.5">
      <c r="A183" s="246"/>
      <c r="B183" s="247"/>
      <c r="C183" s="241"/>
      <c r="D183" s="241"/>
      <c r="E183" s="241"/>
      <c r="G183" s="213"/>
      <c r="H183" s="213"/>
      <c r="I183" s="213"/>
      <c r="J183" s="213"/>
      <c r="K183" s="213"/>
      <c r="L183" s="213"/>
      <c r="M183" s="213"/>
      <c r="N183" s="213"/>
    </row>
    <row r="184" spans="1:14" s="212" customFormat="1" ht="13.5">
      <c r="A184" s="246"/>
      <c r="B184" s="247"/>
      <c r="C184" s="241"/>
      <c r="D184" s="241"/>
      <c r="E184" s="241"/>
      <c r="G184" s="213"/>
      <c r="H184" s="213"/>
      <c r="I184" s="213"/>
      <c r="J184" s="213"/>
      <c r="K184" s="213"/>
      <c r="L184" s="213"/>
      <c r="M184" s="213"/>
      <c r="N184" s="213"/>
    </row>
    <row r="185" spans="1:14" s="212" customFormat="1" ht="13.5">
      <c r="A185" s="246"/>
      <c r="B185" s="247"/>
      <c r="C185" s="241"/>
      <c r="D185" s="241"/>
      <c r="E185" s="241"/>
      <c r="G185" s="213"/>
      <c r="H185" s="213"/>
      <c r="I185" s="213"/>
      <c r="J185" s="213"/>
      <c r="K185" s="213"/>
      <c r="L185" s="213"/>
      <c r="M185" s="213"/>
      <c r="N185" s="213"/>
    </row>
    <row r="186" spans="1:14" s="212" customFormat="1" ht="13.5">
      <c r="A186" s="246"/>
      <c r="B186" s="247"/>
      <c r="C186" s="241"/>
      <c r="D186" s="241"/>
      <c r="E186" s="241"/>
      <c r="G186" s="213"/>
      <c r="H186" s="213"/>
      <c r="I186" s="213"/>
      <c r="J186" s="213"/>
      <c r="K186" s="213"/>
      <c r="L186" s="213"/>
      <c r="M186" s="213"/>
      <c r="N186" s="213"/>
    </row>
  </sheetData>
  <sheetProtection/>
  <mergeCells count="13">
    <mergeCell ref="D4:D5"/>
    <mergeCell ref="E4:J4"/>
    <mergeCell ref="A2:M2"/>
    <mergeCell ref="I1:M1"/>
    <mergeCell ref="K4:K5"/>
    <mergeCell ref="L4:L5"/>
    <mergeCell ref="M4:M5"/>
    <mergeCell ref="A50:B50"/>
    <mergeCell ref="B51:C51"/>
    <mergeCell ref="A1:B1"/>
    <mergeCell ref="A4:A5"/>
    <mergeCell ref="B4:B5"/>
    <mergeCell ref="C4:C5"/>
  </mergeCells>
  <printOptions horizontalCentered="1"/>
  <pageMargins left="0.1968503937007874" right="0.1968503937007874" top="0.6299212598425197" bottom="0.2362204724409449" header="0.31496062992125984" footer="0.31496062992125984"/>
  <pageSetup horizontalDpi="600" verticalDpi="600" orientation="landscape" scale="68" r:id="rId1"/>
  <headerFooter differentFirst="1" scaleWithDoc="0">
    <oddHeader>&amp;C&amp;P</oddHeader>
  </headerFooter>
</worksheet>
</file>

<file path=xl/worksheets/sheet2.xml><?xml version="1.0" encoding="utf-8"?>
<worksheet xmlns="http://schemas.openxmlformats.org/spreadsheetml/2006/main" xmlns:r="http://schemas.openxmlformats.org/officeDocument/2006/relationships">
  <dimension ref="A1:IU78"/>
  <sheetViews>
    <sheetView zoomScale="115" zoomScaleNormal="115" zoomScalePageLayoutView="0" workbookViewId="0" topLeftCell="A31">
      <selection activeCell="I39" sqref="I39"/>
    </sheetView>
  </sheetViews>
  <sheetFormatPr defaultColWidth="8.88671875" defaultRowHeight="18.75"/>
  <cols>
    <col min="1" max="1" width="5.6640625" style="214" customWidth="1"/>
    <col min="2" max="2" width="42.99609375" style="331" customWidth="1"/>
    <col min="3" max="3" width="16.6640625" style="361" customWidth="1"/>
    <col min="4" max="4" width="10.6640625" style="361" customWidth="1"/>
    <col min="5" max="5" width="14.88671875" style="361" customWidth="1"/>
    <col min="6" max="6" width="9.5546875" style="361" customWidth="1"/>
    <col min="7" max="7" width="15.10546875" style="362" customWidth="1"/>
    <col min="8" max="8" width="5.3359375" style="331" customWidth="1"/>
    <col min="9" max="9" width="15.99609375" style="331" customWidth="1"/>
    <col min="10" max="16384" width="8.88671875" style="331" customWidth="1"/>
  </cols>
  <sheetData>
    <row r="1" spans="1:255" ht="18">
      <c r="A1" s="394"/>
      <c r="B1" s="394"/>
      <c r="C1" s="394"/>
      <c r="D1" s="394"/>
      <c r="E1" s="395" t="s">
        <v>266</v>
      </c>
      <c r="F1" s="395"/>
      <c r="G1" s="395"/>
      <c r="H1" s="395"/>
      <c r="I1" s="33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394"/>
      <c r="DK1" s="394"/>
      <c r="DL1" s="394"/>
      <c r="DM1" s="394"/>
      <c r="DN1" s="394"/>
      <c r="DO1" s="394"/>
      <c r="DP1" s="394"/>
      <c r="DQ1" s="394"/>
      <c r="DR1" s="394"/>
      <c r="DS1" s="394"/>
      <c r="DT1" s="394"/>
      <c r="DU1" s="394"/>
      <c r="DV1" s="394"/>
      <c r="DW1" s="394"/>
      <c r="DX1" s="394"/>
      <c r="DY1" s="394"/>
      <c r="DZ1" s="394"/>
      <c r="EA1" s="394"/>
      <c r="EB1" s="394"/>
      <c r="EC1" s="394"/>
      <c r="ED1" s="394"/>
      <c r="EE1" s="394"/>
      <c r="EF1" s="394"/>
      <c r="EG1" s="394"/>
      <c r="EH1" s="394"/>
      <c r="EI1" s="394"/>
      <c r="EJ1" s="394"/>
      <c r="EK1" s="394"/>
      <c r="EL1" s="394"/>
      <c r="EM1" s="394"/>
      <c r="EN1" s="394"/>
      <c r="EO1" s="394"/>
      <c r="EP1" s="394"/>
      <c r="EQ1" s="394"/>
      <c r="ER1" s="394"/>
      <c r="ES1" s="394"/>
      <c r="ET1" s="394"/>
      <c r="EU1" s="394"/>
      <c r="EV1" s="394"/>
      <c r="EW1" s="394"/>
      <c r="EX1" s="394"/>
      <c r="EY1" s="394"/>
      <c r="EZ1" s="394"/>
      <c r="FA1" s="394"/>
      <c r="FB1" s="394"/>
      <c r="FC1" s="394"/>
      <c r="FD1" s="394"/>
      <c r="FE1" s="394"/>
      <c r="FF1" s="394"/>
      <c r="FG1" s="394"/>
      <c r="FH1" s="394"/>
      <c r="FI1" s="394"/>
      <c r="FJ1" s="394"/>
      <c r="FK1" s="394"/>
      <c r="FL1" s="394"/>
      <c r="FM1" s="394"/>
      <c r="FN1" s="394"/>
      <c r="FO1" s="394"/>
      <c r="FP1" s="394"/>
      <c r="FQ1" s="394"/>
      <c r="FR1" s="394"/>
      <c r="FS1" s="394"/>
      <c r="FT1" s="394"/>
      <c r="FU1" s="394"/>
      <c r="FV1" s="394"/>
      <c r="FW1" s="394"/>
      <c r="FX1" s="394"/>
      <c r="FY1" s="394"/>
      <c r="FZ1" s="394"/>
      <c r="GA1" s="394"/>
      <c r="GB1" s="394"/>
      <c r="GC1" s="394"/>
      <c r="GD1" s="394"/>
      <c r="GE1" s="394"/>
      <c r="GF1" s="394"/>
      <c r="GG1" s="394"/>
      <c r="GH1" s="394"/>
      <c r="GI1" s="394"/>
      <c r="GJ1" s="394"/>
      <c r="GK1" s="394"/>
      <c r="GL1" s="394"/>
      <c r="GM1" s="394"/>
      <c r="GN1" s="394"/>
      <c r="GO1" s="394"/>
      <c r="GP1" s="394"/>
      <c r="GQ1" s="394"/>
      <c r="GR1" s="394"/>
      <c r="GS1" s="394"/>
      <c r="GT1" s="394"/>
      <c r="GU1" s="394"/>
      <c r="GV1" s="394"/>
      <c r="GW1" s="394"/>
      <c r="GX1" s="394"/>
      <c r="GY1" s="394"/>
      <c r="GZ1" s="394"/>
      <c r="HA1" s="394"/>
      <c r="HB1" s="394"/>
      <c r="HC1" s="394"/>
      <c r="HD1" s="394"/>
      <c r="HE1" s="394"/>
      <c r="HF1" s="394"/>
      <c r="HG1" s="394"/>
      <c r="HH1" s="394"/>
      <c r="HI1" s="394"/>
      <c r="HJ1" s="394"/>
      <c r="HK1" s="394"/>
      <c r="HL1" s="394"/>
      <c r="HM1" s="394"/>
      <c r="HN1" s="394"/>
      <c r="HO1" s="394"/>
      <c r="HP1" s="394"/>
      <c r="HQ1" s="394"/>
      <c r="HR1" s="394"/>
      <c r="HS1" s="394"/>
      <c r="HT1" s="394"/>
      <c r="HU1" s="394"/>
      <c r="HV1" s="394"/>
      <c r="HW1" s="394"/>
      <c r="HX1" s="394"/>
      <c r="HY1" s="394"/>
      <c r="HZ1" s="394"/>
      <c r="IA1" s="394"/>
      <c r="IB1" s="394"/>
      <c r="IC1" s="394"/>
      <c r="ID1" s="394"/>
      <c r="IE1" s="394"/>
      <c r="IF1" s="394"/>
      <c r="IG1" s="394"/>
      <c r="IH1" s="394"/>
      <c r="II1" s="394"/>
      <c r="IJ1" s="394"/>
      <c r="IK1" s="394"/>
      <c r="IL1" s="394"/>
      <c r="IM1" s="394"/>
      <c r="IN1" s="394"/>
      <c r="IO1" s="394"/>
      <c r="IP1" s="394"/>
      <c r="IQ1" s="394"/>
      <c r="IR1" s="394"/>
      <c r="IS1" s="394"/>
      <c r="IT1" s="394"/>
      <c r="IU1" s="394"/>
    </row>
    <row r="2" spans="1:8" ht="35.25" customHeight="1">
      <c r="A2" s="390" t="s">
        <v>198</v>
      </c>
      <c r="B2" s="390"/>
      <c r="C2" s="390"/>
      <c r="D2" s="390"/>
      <c r="E2" s="390"/>
      <c r="F2" s="390"/>
      <c r="G2" s="390"/>
      <c r="H2" s="390"/>
    </row>
    <row r="3" spans="1:8" ht="72.75" customHeight="1">
      <c r="A3" s="396" t="s">
        <v>263</v>
      </c>
      <c r="B3" s="396"/>
      <c r="C3" s="396"/>
      <c r="D3" s="396"/>
      <c r="E3" s="396"/>
      <c r="F3" s="396"/>
      <c r="G3" s="396"/>
      <c r="H3" s="396"/>
    </row>
    <row r="4" spans="1:8" ht="34.5">
      <c r="A4" s="335" t="s">
        <v>0</v>
      </c>
      <c r="B4" s="335" t="s">
        <v>199</v>
      </c>
      <c r="C4" s="335" t="s">
        <v>122</v>
      </c>
      <c r="D4" s="336" t="s">
        <v>200</v>
      </c>
      <c r="E4" s="336" t="s">
        <v>201</v>
      </c>
      <c r="F4" s="335" t="s">
        <v>202</v>
      </c>
      <c r="G4" s="336" t="s">
        <v>203</v>
      </c>
      <c r="H4" s="336" t="s">
        <v>1</v>
      </c>
    </row>
    <row r="5" spans="1:9" ht="32.25" customHeight="1">
      <c r="A5" s="337" t="s">
        <v>126</v>
      </c>
      <c r="B5" s="338" t="s">
        <v>204</v>
      </c>
      <c r="C5" s="339"/>
      <c r="D5" s="340"/>
      <c r="E5" s="340"/>
      <c r="F5" s="340"/>
      <c r="G5" s="341">
        <f>G6+G19</f>
        <v>18294822302.0728</v>
      </c>
      <c r="H5" s="341"/>
      <c r="I5" s="377">
        <f>ROUND(G5,-6)</f>
        <v>18295000000</v>
      </c>
    </row>
    <row r="6" spans="1:8" ht="32.25" customHeight="1">
      <c r="A6" s="274" t="s">
        <v>136</v>
      </c>
      <c r="B6" s="313" t="s">
        <v>205</v>
      </c>
      <c r="C6" s="342"/>
      <c r="D6" s="343">
        <f>D7+D13</f>
        <v>72665</v>
      </c>
      <c r="E6" s="344"/>
      <c r="F6" s="344"/>
      <c r="G6" s="376">
        <f>G7+G13</f>
        <v>15686923062.072802</v>
      </c>
      <c r="H6" s="276"/>
    </row>
    <row r="7" spans="1:8" ht="32.25" customHeight="1">
      <c r="A7" s="274">
        <v>1</v>
      </c>
      <c r="B7" s="345" t="s">
        <v>206</v>
      </c>
      <c r="C7" s="191" t="s">
        <v>137</v>
      </c>
      <c r="D7" s="346">
        <f>'Du toanthu chi'!E5</f>
        <v>10976</v>
      </c>
      <c r="E7" s="344"/>
      <c r="F7" s="344"/>
      <c r="G7" s="276">
        <f>SUM(G8:G12)</f>
        <v>1025438501.027197</v>
      </c>
      <c r="H7" s="276"/>
    </row>
    <row r="8" spans="1:8" s="318" customFormat="1" ht="26.25" customHeight="1">
      <c r="A8" s="332" t="s">
        <v>207</v>
      </c>
      <c r="B8" s="329" t="s">
        <v>208</v>
      </c>
      <c r="C8" s="191" t="s">
        <v>137</v>
      </c>
      <c r="D8" s="323">
        <f>D7</f>
        <v>10976</v>
      </c>
      <c r="E8" s="323">
        <f>'Du toan chi'!E8</f>
        <v>765780306.82272</v>
      </c>
      <c r="F8" s="317"/>
      <c r="G8" s="323">
        <f>E8</f>
        <v>765780306.82272</v>
      </c>
      <c r="H8" s="317"/>
    </row>
    <row r="9" spans="1:8" s="318" customFormat="1" ht="26.25" customHeight="1">
      <c r="A9" s="332" t="s">
        <v>207</v>
      </c>
      <c r="B9" s="329" t="s">
        <v>209</v>
      </c>
      <c r="C9" s="191" t="s">
        <v>137</v>
      </c>
      <c r="D9" s="323">
        <f>D8</f>
        <v>10976</v>
      </c>
      <c r="E9" s="323">
        <f>'Du toan chi'!F8</f>
        <v>84250557.49513848</v>
      </c>
      <c r="F9" s="317"/>
      <c r="G9" s="323">
        <f>E9</f>
        <v>84250557.49513848</v>
      </c>
      <c r="H9" s="317"/>
    </row>
    <row r="10" spans="1:8" s="318" customFormat="1" ht="26.25" customHeight="1">
      <c r="A10" s="332" t="s">
        <v>207</v>
      </c>
      <c r="B10" s="329" t="s">
        <v>210</v>
      </c>
      <c r="C10" s="191" t="s">
        <v>137</v>
      </c>
      <c r="D10" s="323">
        <f>D9</f>
        <v>10976</v>
      </c>
      <c r="E10" s="323">
        <f>'Du toan chi'!G8</f>
        <v>95079460.82949835</v>
      </c>
      <c r="F10" s="317"/>
      <c r="G10" s="323">
        <f>E10</f>
        <v>95079460.82949835</v>
      </c>
      <c r="H10" s="317"/>
    </row>
    <row r="11" spans="1:8" s="318" customFormat="1" ht="26.25" customHeight="1">
      <c r="A11" s="332" t="s">
        <v>207</v>
      </c>
      <c r="B11" s="329" t="s">
        <v>211</v>
      </c>
      <c r="C11" s="191" t="s">
        <v>137</v>
      </c>
      <c r="D11" s="323">
        <f>D10</f>
        <v>10976</v>
      </c>
      <c r="E11" s="323">
        <f>'Du toan chi'!H8</f>
        <v>50828292.60147693</v>
      </c>
      <c r="F11" s="317"/>
      <c r="G11" s="323">
        <f>E11</f>
        <v>50828292.60147693</v>
      </c>
      <c r="H11" s="317"/>
    </row>
    <row r="12" spans="1:8" s="318" customFormat="1" ht="26.25" customHeight="1">
      <c r="A12" s="332" t="s">
        <v>207</v>
      </c>
      <c r="B12" s="329" t="s">
        <v>212</v>
      </c>
      <c r="C12" s="191" t="s">
        <v>137</v>
      </c>
      <c r="D12" s="323">
        <f>D11</f>
        <v>10976</v>
      </c>
      <c r="E12" s="323">
        <f>'Du toan chi'!I8</f>
        <v>29499883.27836308</v>
      </c>
      <c r="F12" s="317"/>
      <c r="G12" s="323">
        <f>E12</f>
        <v>29499883.27836308</v>
      </c>
      <c r="H12" s="317"/>
    </row>
    <row r="13" spans="1:8" ht="32.25" customHeight="1">
      <c r="A13" s="274">
        <v>2</v>
      </c>
      <c r="B13" s="345" t="s">
        <v>213</v>
      </c>
      <c r="C13" s="191" t="s">
        <v>137</v>
      </c>
      <c r="D13" s="346">
        <f>'Du toan chi'!D28</f>
        <v>61689</v>
      </c>
      <c r="E13" s="344"/>
      <c r="F13" s="344"/>
      <c r="G13" s="276">
        <f>SUM(G14:G18)</f>
        <v>14661484561.045605</v>
      </c>
      <c r="H13" s="276"/>
    </row>
    <row r="14" spans="1:8" s="318" customFormat="1" ht="26.25" customHeight="1">
      <c r="A14" s="332" t="s">
        <v>207</v>
      </c>
      <c r="B14" s="329" t="s">
        <v>208</v>
      </c>
      <c r="C14" s="191" t="s">
        <v>137</v>
      </c>
      <c r="D14" s="323">
        <f>D13</f>
        <v>61689</v>
      </c>
      <c r="E14" s="323">
        <f>'Du toan chi'!E28</f>
        <v>13203681809.97402</v>
      </c>
      <c r="F14" s="317"/>
      <c r="G14" s="323">
        <f>E14</f>
        <v>13203681809.97402</v>
      </c>
      <c r="H14" s="317"/>
    </row>
    <row r="15" spans="1:8" s="318" customFormat="1" ht="26.25" customHeight="1">
      <c r="A15" s="332" t="s">
        <v>207</v>
      </c>
      <c r="B15" s="329" t="s">
        <v>209</v>
      </c>
      <c r="C15" s="191" t="s">
        <v>137</v>
      </c>
      <c r="D15" s="323">
        <f>D14</f>
        <v>61689</v>
      </c>
      <c r="E15" s="323">
        <f>'Du toan chi'!F28</f>
        <v>519707971.61058474</v>
      </c>
      <c r="F15" s="317"/>
      <c r="G15" s="323">
        <f>E15</f>
        <v>519707971.61058474</v>
      </c>
      <c r="H15" s="317"/>
    </row>
    <row r="16" spans="1:8" s="318" customFormat="1" ht="26.25" customHeight="1">
      <c r="A16" s="332" t="s">
        <v>207</v>
      </c>
      <c r="B16" s="329" t="s">
        <v>210</v>
      </c>
      <c r="C16" s="191" t="s">
        <v>137</v>
      </c>
      <c r="D16" s="323">
        <f>D15</f>
        <v>61689</v>
      </c>
      <c r="E16" s="323">
        <f>'Du toan chi'!G28</f>
        <v>387823866.95644283</v>
      </c>
      <c r="F16" s="317"/>
      <c r="G16" s="323">
        <f>E16</f>
        <v>387823866.95644283</v>
      </c>
      <c r="H16" s="317"/>
    </row>
    <row r="17" spans="1:8" s="318" customFormat="1" ht="26.25" customHeight="1">
      <c r="A17" s="332" t="s">
        <v>207</v>
      </c>
      <c r="B17" s="329" t="s">
        <v>211</v>
      </c>
      <c r="C17" s="191" t="s">
        <v>137</v>
      </c>
      <c r="D17" s="323">
        <f>D16</f>
        <v>61689</v>
      </c>
      <c r="E17" s="323">
        <f>'Du toan chi'!H28</f>
        <v>214998050.74840623</v>
      </c>
      <c r="F17" s="317"/>
      <c r="G17" s="323">
        <f>E17</f>
        <v>214998050.74840623</v>
      </c>
      <c r="H17" s="317"/>
    </row>
    <row r="18" spans="1:8" s="318" customFormat="1" ht="26.25" customHeight="1">
      <c r="A18" s="332" t="s">
        <v>207</v>
      </c>
      <c r="B18" s="329" t="s">
        <v>212</v>
      </c>
      <c r="C18" s="191" t="s">
        <v>137</v>
      </c>
      <c r="D18" s="323">
        <f>D17</f>
        <v>61689</v>
      </c>
      <c r="E18" s="323">
        <f>'Du toan chi'!I28</f>
        <v>335272861.75615394</v>
      </c>
      <c r="F18" s="317"/>
      <c r="G18" s="323">
        <f>E18</f>
        <v>335272861.75615394</v>
      </c>
      <c r="H18" s="317"/>
    </row>
    <row r="19" spans="1:8" s="318" customFormat="1" ht="26.25" customHeight="1">
      <c r="A19" s="274" t="s">
        <v>214</v>
      </c>
      <c r="B19" s="313" t="s">
        <v>215</v>
      </c>
      <c r="C19" s="314"/>
      <c r="D19" s="317"/>
      <c r="E19" s="323"/>
      <c r="F19" s="317"/>
      <c r="G19" s="276">
        <f>SUM(G20:G35)</f>
        <v>2607899240</v>
      </c>
      <c r="H19" s="317"/>
    </row>
    <row r="20" spans="1:8" s="218" customFormat="1" ht="26.25" customHeight="1">
      <c r="A20" s="319">
        <v>1</v>
      </c>
      <c r="B20" s="320" t="s">
        <v>216</v>
      </c>
      <c r="C20" s="321">
        <v>12</v>
      </c>
      <c r="D20" s="347">
        <f>2.67*1800000</f>
        <v>4806000</v>
      </c>
      <c r="E20" s="323">
        <f>D20*C20</f>
        <v>57672000</v>
      </c>
      <c r="F20" s="348">
        <v>12</v>
      </c>
      <c r="G20" s="323">
        <f>F20*E20</f>
        <v>692064000</v>
      </c>
      <c r="H20" s="324"/>
    </row>
    <row r="21" spans="1:8" s="218" customFormat="1" ht="26.25" customHeight="1">
      <c r="A21" s="319">
        <v>2</v>
      </c>
      <c r="B21" s="320" t="s">
        <v>217</v>
      </c>
      <c r="C21" s="321"/>
      <c r="D21" s="347"/>
      <c r="E21" s="323"/>
      <c r="F21" s="348"/>
      <c r="G21" s="323">
        <f>G20*23.5%</f>
        <v>162635040</v>
      </c>
      <c r="H21" s="324"/>
    </row>
    <row r="22" spans="1:8" s="218" customFormat="1" ht="26.25" customHeight="1">
      <c r="A22" s="319"/>
      <c r="B22" s="320" t="s">
        <v>176</v>
      </c>
      <c r="C22" s="321"/>
      <c r="D22" s="347"/>
      <c r="E22" s="323"/>
      <c r="F22" s="348"/>
      <c r="G22" s="323">
        <f>G20*50%</f>
        <v>346032000</v>
      </c>
      <c r="H22" s="324"/>
    </row>
    <row r="23" spans="1:8" s="218" customFormat="1" ht="26.25" customHeight="1">
      <c r="A23" s="319"/>
      <c r="B23" s="320" t="s">
        <v>238</v>
      </c>
      <c r="C23" s="321"/>
      <c r="D23" s="347"/>
      <c r="E23" s="323"/>
      <c r="F23" s="348"/>
      <c r="G23" s="323">
        <f>E20</f>
        <v>57672000</v>
      </c>
      <c r="H23" s="324"/>
    </row>
    <row r="24" spans="1:8" s="218" customFormat="1" ht="19.5" customHeight="1">
      <c r="A24" s="325">
        <v>3</v>
      </c>
      <c r="B24" s="326" t="s">
        <v>218</v>
      </c>
      <c r="C24" s="327">
        <v>47</v>
      </c>
      <c r="D24" s="347">
        <v>300000</v>
      </c>
      <c r="E24" s="323">
        <f>D24*C24</f>
        <v>14100000</v>
      </c>
      <c r="F24" s="349">
        <v>4</v>
      </c>
      <c r="G24" s="323">
        <f>F24*E24</f>
        <v>56400000</v>
      </c>
      <c r="H24" s="324"/>
    </row>
    <row r="25" spans="1:8" s="218" customFormat="1" ht="19.5" customHeight="1">
      <c r="A25" s="325">
        <v>4</v>
      </c>
      <c r="B25" s="326" t="s">
        <v>249</v>
      </c>
      <c r="C25" s="327">
        <f>ROUND(D6/1700,-1)</f>
        <v>40</v>
      </c>
      <c r="D25" s="347">
        <v>5230000</v>
      </c>
      <c r="E25" s="323">
        <f>D25*C25</f>
        <v>209200000</v>
      </c>
      <c r="F25" s="323"/>
      <c r="G25" s="323">
        <f>E25</f>
        <v>209200000</v>
      </c>
      <c r="H25" s="324"/>
    </row>
    <row r="26" spans="1:8" s="218" customFormat="1" ht="26.25" customHeight="1">
      <c r="A26" s="319">
        <v>4</v>
      </c>
      <c r="B26" s="320" t="s">
        <v>219</v>
      </c>
      <c r="C26" s="321"/>
      <c r="D26" s="347"/>
      <c r="E26" s="350"/>
      <c r="F26" s="348"/>
      <c r="G26" s="323"/>
      <c r="H26" s="328"/>
    </row>
    <row r="27" spans="1:8" ht="36.75" customHeight="1">
      <c r="A27" s="319" t="s">
        <v>207</v>
      </c>
      <c r="B27" s="329" t="s">
        <v>247</v>
      </c>
      <c r="C27" s="330">
        <f>C24*30%</f>
        <v>14.1</v>
      </c>
      <c r="D27" s="323">
        <v>500000</v>
      </c>
      <c r="E27" s="323">
        <f>D27*C27</f>
        <v>7050000</v>
      </c>
      <c r="F27" s="323">
        <v>4</v>
      </c>
      <c r="G27" s="323">
        <f>F27*E27</f>
        <v>28200000</v>
      </c>
      <c r="H27" s="323"/>
    </row>
    <row r="28" spans="1:8" ht="33.75" customHeight="1">
      <c r="A28" s="319" t="s">
        <v>207</v>
      </c>
      <c r="B28" s="329" t="s">
        <v>248</v>
      </c>
      <c r="C28" s="330">
        <f>24*30%</f>
        <v>7.199999999999999</v>
      </c>
      <c r="D28" s="323">
        <v>800000</v>
      </c>
      <c r="E28" s="323">
        <f>D28*C28</f>
        <v>5759999.999999999</v>
      </c>
      <c r="F28" s="323">
        <v>4</v>
      </c>
      <c r="G28" s="323">
        <f>F28*E28</f>
        <v>23039999.999999996</v>
      </c>
      <c r="H28" s="323"/>
    </row>
    <row r="29" spans="1:9" s="218" customFormat="1" ht="26.25" customHeight="1">
      <c r="A29" s="319">
        <v>5</v>
      </c>
      <c r="B29" s="320" t="s">
        <v>220</v>
      </c>
      <c r="C29" s="321"/>
      <c r="D29" s="347"/>
      <c r="E29" s="323"/>
      <c r="F29" s="348"/>
      <c r="G29" s="375">
        <f>'Du toanthu chi'!G4*2%</f>
        <v>356336200</v>
      </c>
      <c r="H29" s="324"/>
      <c r="I29" s="279">
        <f>G37/1.15</f>
        <v>15492878260.869566</v>
      </c>
    </row>
    <row r="30" spans="1:8" s="218" customFormat="1" ht="19.5" customHeight="1">
      <c r="A30" s="325">
        <v>6</v>
      </c>
      <c r="B30" s="326" t="s">
        <v>221</v>
      </c>
      <c r="C30" s="325"/>
      <c r="D30" s="347"/>
      <c r="E30" s="351"/>
      <c r="F30" s="349"/>
      <c r="G30" s="323"/>
      <c r="H30" s="324"/>
    </row>
    <row r="31" spans="1:8" s="273" customFormat="1" ht="36">
      <c r="A31" s="332" t="s">
        <v>207</v>
      </c>
      <c r="B31" s="329" t="s">
        <v>222</v>
      </c>
      <c r="C31" s="327">
        <v>47</v>
      </c>
      <c r="D31" s="347">
        <f>'Du toanthu chi'!E64</f>
        <v>200000</v>
      </c>
      <c r="E31" s="323">
        <f aca="true" t="shared" si="0" ref="E31:E36">D31*C31</f>
        <v>9400000</v>
      </c>
      <c r="F31" s="349">
        <v>12</v>
      </c>
      <c r="G31" s="323">
        <f aca="true" t="shared" si="1" ref="G31:G36">F31*E31</f>
        <v>112800000</v>
      </c>
      <c r="H31" s="324"/>
    </row>
    <row r="32" spans="1:8" s="273" customFormat="1" ht="36">
      <c r="A32" s="332" t="s">
        <v>207</v>
      </c>
      <c r="B32" s="329" t="s">
        <v>223</v>
      </c>
      <c r="C32" s="327">
        <f>C31</f>
        <v>47</v>
      </c>
      <c r="D32" s="347">
        <f>'Du toanthu chi'!E65</f>
        <v>200000</v>
      </c>
      <c r="E32" s="323">
        <f t="shared" si="0"/>
        <v>9400000</v>
      </c>
      <c r="F32" s="349">
        <v>12</v>
      </c>
      <c r="G32" s="323">
        <f t="shared" si="1"/>
        <v>112800000</v>
      </c>
      <c r="H32" s="324"/>
    </row>
    <row r="33" spans="1:9" s="273" customFormat="1" ht="36">
      <c r="A33" s="332" t="s">
        <v>207</v>
      </c>
      <c r="B33" s="329" t="s">
        <v>224</v>
      </c>
      <c r="C33" s="327">
        <v>12</v>
      </c>
      <c r="D33" s="347">
        <f>'Du toanthu chi'!E66</f>
        <v>1000000</v>
      </c>
      <c r="E33" s="323">
        <f t="shared" si="0"/>
        <v>12000000</v>
      </c>
      <c r="F33" s="349">
        <v>12</v>
      </c>
      <c r="G33" s="323">
        <f t="shared" si="1"/>
        <v>144000000</v>
      </c>
      <c r="H33" s="324"/>
      <c r="I33" s="277"/>
    </row>
    <row r="34" spans="1:8" s="273" customFormat="1" ht="19.5" customHeight="1">
      <c r="A34" s="332" t="s">
        <v>207</v>
      </c>
      <c r="B34" s="326" t="s">
        <v>225</v>
      </c>
      <c r="C34" s="327">
        <v>12</v>
      </c>
      <c r="D34" s="347">
        <f>'Du toanthu chi'!E67</f>
        <v>330000</v>
      </c>
      <c r="E34" s="323">
        <f t="shared" si="0"/>
        <v>3960000</v>
      </c>
      <c r="F34" s="349">
        <v>12</v>
      </c>
      <c r="G34" s="323">
        <f t="shared" si="1"/>
        <v>47520000</v>
      </c>
      <c r="H34" s="324"/>
    </row>
    <row r="35" spans="1:8" s="273" customFormat="1" ht="19.5" customHeight="1">
      <c r="A35" s="332" t="s">
        <v>207</v>
      </c>
      <c r="B35" s="326" t="s">
        <v>246</v>
      </c>
      <c r="C35" s="325">
        <v>12</v>
      </c>
      <c r="D35" s="347">
        <f>'Du toanthu chi'!E68</f>
        <v>1800000</v>
      </c>
      <c r="E35" s="323">
        <f t="shared" si="0"/>
        <v>21600000</v>
      </c>
      <c r="F35" s="349">
        <v>12</v>
      </c>
      <c r="G35" s="323">
        <f t="shared" si="1"/>
        <v>259200000</v>
      </c>
      <c r="H35" s="328"/>
    </row>
    <row r="36" spans="1:8" s="273" customFormat="1" ht="19.5" customHeight="1">
      <c r="A36" s="332" t="s">
        <v>207</v>
      </c>
      <c r="B36" s="326" t="s">
        <v>117</v>
      </c>
      <c r="C36" s="325">
        <v>12</v>
      </c>
      <c r="D36" s="347">
        <v>2000000</v>
      </c>
      <c r="E36" s="323">
        <f t="shared" si="0"/>
        <v>24000000</v>
      </c>
      <c r="F36" s="349">
        <v>12</v>
      </c>
      <c r="G36" s="323">
        <f t="shared" si="1"/>
        <v>288000000</v>
      </c>
      <c r="H36" s="328"/>
    </row>
    <row r="37" spans="1:9" s="273" customFormat="1" ht="30.75" customHeight="1">
      <c r="A37" s="352" t="s">
        <v>128</v>
      </c>
      <c r="B37" s="353" t="s">
        <v>227</v>
      </c>
      <c r="C37" s="227"/>
      <c r="D37" s="354"/>
      <c r="E37" s="276"/>
      <c r="F37" s="229"/>
      <c r="G37" s="229">
        <f>G38+G58</f>
        <v>17816810000</v>
      </c>
      <c r="H37" s="323"/>
      <c r="I37" s="377">
        <f>ROUND(G37,-6)</f>
        <v>17817000000</v>
      </c>
    </row>
    <row r="38" spans="1:8" s="273" customFormat="1" ht="30.75" customHeight="1">
      <c r="A38" s="227" t="s">
        <v>136</v>
      </c>
      <c r="B38" s="127" t="s">
        <v>138</v>
      </c>
      <c r="C38" s="227"/>
      <c r="D38" s="355"/>
      <c r="E38" s="229"/>
      <c r="F38" s="229"/>
      <c r="G38" s="229">
        <f>SUM(G39:G57)</f>
        <v>1155870000</v>
      </c>
      <c r="H38" s="276"/>
    </row>
    <row r="39" spans="1:9" s="218" customFormat="1" ht="30.75" customHeight="1">
      <c r="A39" s="254">
        <v>1</v>
      </c>
      <c r="B39" s="255" t="s">
        <v>192</v>
      </c>
      <c r="C39" s="191"/>
      <c r="D39" s="233"/>
      <c r="E39" s="323"/>
      <c r="F39" s="356"/>
      <c r="G39" s="233">
        <f>'Du toanthu chi'!G6</f>
        <v>134750000</v>
      </c>
      <c r="H39" s="323"/>
      <c r="I39" s="378">
        <f>I5/I37</f>
        <v>1.026828310040972</v>
      </c>
    </row>
    <row r="40" spans="1:8" s="218" customFormat="1" ht="30.75" customHeight="1">
      <c r="A40" s="257">
        <f aca="true" t="shared" si="2" ref="A40:A45">A39+1</f>
        <v>2</v>
      </c>
      <c r="B40" s="258" t="s">
        <v>193</v>
      </c>
      <c r="C40" s="191"/>
      <c r="D40" s="233"/>
      <c r="E40" s="323"/>
      <c r="F40" s="356"/>
      <c r="G40" s="233">
        <f>'Du toanthu chi'!G7</f>
        <v>78300000</v>
      </c>
      <c r="H40" s="323"/>
    </row>
    <row r="41" spans="1:8" s="218" customFormat="1" ht="36">
      <c r="A41" s="257">
        <f t="shared" si="2"/>
        <v>3</v>
      </c>
      <c r="B41" s="259" t="s">
        <v>194</v>
      </c>
      <c r="C41" s="191"/>
      <c r="D41" s="233"/>
      <c r="E41" s="323"/>
      <c r="F41" s="356"/>
      <c r="G41" s="233">
        <f>'Du toanthu chi'!G8</f>
        <v>66500000</v>
      </c>
      <c r="H41" s="323"/>
    </row>
    <row r="42" spans="1:8" s="218" customFormat="1" ht="36">
      <c r="A42" s="257">
        <f t="shared" si="2"/>
        <v>4</v>
      </c>
      <c r="B42" s="258" t="s">
        <v>255</v>
      </c>
      <c r="C42" s="191"/>
      <c r="D42" s="233"/>
      <c r="E42" s="323"/>
      <c r="F42" s="356"/>
      <c r="G42" s="233">
        <f>'Du toanthu chi'!G9</f>
        <v>81000000</v>
      </c>
      <c r="H42" s="323"/>
    </row>
    <row r="43" spans="1:8" s="218" customFormat="1" ht="54">
      <c r="A43" s="257">
        <f t="shared" si="2"/>
        <v>5</v>
      </c>
      <c r="B43" s="258" t="s">
        <v>256</v>
      </c>
      <c r="C43" s="191"/>
      <c r="D43" s="233"/>
      <c r="E43" s="323"/>
      <c r="F43" s="356"/>
      <c r="G43" s="233">
        <f>'Du toanthu chi'!G10</f>
        <v>7000000</v>
      </c>
      <c r="H43" s="323"/>
    </row>
    <row r="44" spans="1:8" s="218" customFormat="1" ht="90">
      <c r="A44" s="257">
        <f t="shared" si="2"/>
        <v>6</v>
      </c>
      <c r="B44" s="258" t="s">
        <v>257</v>
      </c>
      <c r="C44" s="191"/>
      <c r="D44" s="233"/>
      <c r="E44" s="323"/>
      <c r="F44" s="356"/>
      <c r="G44" s="233">
        <f>'Du toanthu chi'!G11</f>
        <v>3500000</v>
      </c>
      <c r="H44" s="323"/>
    </row>
    <row r="45" spans="1:8" s="218" customFormat="1" ht="30.75" customHeight="1">
      <c r="A45" s="257">
        <f t="shared" si="2"/>
        <v>7</v>
      </c>
      <c r="B45" s="258" t="s">
        <v>195</v>
      </c>
      <c r="C45" s="191"/>
      <c r="D45" s="233"/>
      <c r="E45" s="323"/>
      <c r="F45" s="233"/>
      <c r="G45" s="233">
        <f>'Du toanthu chi'!G12</f>
        <v>0</v>
      </c>
      <c r="H45" s="323"/>
    </row>
    <row r="46" spans="1:8" s="218" customFormat="1" ht="36">
      <c r="A46" s="257" t="s">
        <v>50</v>
      </c>
      <c r="B46" s="259" t="s">
        <v>258</v>
      </c>
      <c r="C46" s="191"/>
      <c r="D46" s="233"/>
      <c r="E46" s="323"/>
      <c r="F46" s="233"/>
      <c r="G46" s="233">
        <f>'Du toanthu chi'!G13</f>
        <v>5500000</v>
      </c>
      <c r="H46" s="323"/>
    </row>
    <row r="47" spans="1:8" s="218" customFormat="1" ht="36">
      <c r="A47" s="257" t="s">
        <v>53</v>
      </c>
      <c r="B47" s="259" t="s">
        <v>259</v>
      </c>
      <c r="C47" s="191"/>
      <c r="D47" s="233"/>
      <c r="E47" s="323"/>
      <c r="F47" s="233"/>
      <c r="G47" s="233">
        <f>'Du toanthu chi'!G14</f>
        <v>4320000</v>
      </c>
      <c r="H47" s="323"/>
    </row>
    <row r="48" spans="1:8" s="218" customFormat="1" ht="54">
      <c r="A48" s="257" t="s">
        <v>54</v>
      </c>
      <c r="B48" s="259" t="s">
        <v>260</v>
      </c>
      <c r="C48" s="191"/>
      <c r="D48" s="233"/>
      <c r="E48" s="323"/>
      <c r="F48" s="233"/>
      <c r="G48" s="233">
        <f>'Du toanthu chi'!G15</f>
        <v>2100000</v>
      </c>
      <c r="H48" s="323"/>
    </row>
    <row r="49" spans="1:8" s="218" customFormat="1" ht="36">
      <c r="A49" s="257">
        <v>8</v>
      </c>
      <c r="B49" s="258" t="s">
        <v>196</v>
      </c>
      <c r="C49" s="191"/>
      <c r="D49" s="233"/>
      <c r="E49" s="323"/>
      <c r="F49" s="233"/>
      <c r="G49" s="233">
        <f>'Du toanthu chi'!G16</f>
        <v>0</v>
      </c>
      <c r="H49" s="323"/>
    </row>
    <row r="50" spans="1:8" s="218" customFormat="1" ht="54">
      <c r="A50" s="260" t="s">
        <v>50</v>
      </c>
      <c r="B50" s="261" t="s">
        <v>250</v>
      </c>
      <c r="C50" s="191"/>
      <c r="D50" s="233"/>
      <c r="E50" s="323"/>
      <c r="F50" s="233"/>
      <c r="G50" s="233">
        <f>'Du toanthu chi'!G17</f>
        <v>4900000</v>
      </c>
      <c r="H50" s="323"/>
    </row>
    <row r="51" spans="1:8" s="218" customFormat="1" ht="54">
      <c r="A51" s="263" t="s">
        <v>53</v>
      </c>
      <c r="B51" s="264" t="s">
        <v>251</v>
      </c>
      <c r="C51" s="191"/>
      <c r="D51" s="233"/>
      <c r="E51" s="323"/>
      <c r="F51" s="233"/>
      <c r="G51" s="233">
        <f>'Du toanthu chi'!G18</f>
        <v>2400000</v>
      </c>
      <c r="H51" s="323"/>
    </row>
    <row r="52" spans="1:8" s="218" customFormat="1" ht="72">
      <c r="A52" s="257" t="s">
        <v>54</v>
      </c>
      <c r="B52" s="259" t="s">
        <v>252</v>
      </c>
      <c r="C52" s="191"/>
      <c r="D52" s="233"/>
      <c r="E52" s="323"/>
      <c r="F52" s="233"/>
      <c r="G52" s="233">
        <f>'Du toanthu chi'!G19</f>
        <v>3200000</v>
      </c>
      <c r="H52" s="323"/>
    </row>
    <row r="53" spans="1:8" s="218" customFormat="1" ht="36">
      <c r="A53" s="257">
        <v>9</v>
      </c>
      <c r="B53" s="258" t="s">
        <v>197</v>
      </c>
      <c r="C53" s="191"/>
      <c r="D53" s="233"/>
      <c r="E53" s="323"/>
      <c r="F53" s="233"/>
      <c r="G53" s="233">
        <f>'Du toanthu chi'!G20</f>
        <v>0</v>
      </c>
      <c r="H53" s="323"/>
    </row>
    <row r="54" spans="1:8" s="218" customFormat="1" ht="30.75" customHeight="1">
      <c r="A54" s="257" t="s">
        <v>50</v>
      </c>
      <c r="B54" s="259" t="s">
        <v>253</v>
      </c>
      <c r="C54" s="191"/>
      <c r="D54" s="233"/>
      <c r="E54" s="323"/>
      <c r="F54" s="233"/>
      <c r="G54" s="233">
        <f>'Du toanthu chi'!G21</f>
        <v>137500000</v>
      </c>
      <c r="H54" s="323"/>
    </row>
    <row r="55" spans="1:8" s="218" customFormat="1" ht="30.75" customHeight="1">
      <c r="A55" s="257" t="s">
        <v>53</v>
      </c>
      <c r="B55" s="259" t="s">
        <v>254</v>
      </c>
      <c r="C55" s="191"/>
      <c r="D55" s="233"/>
      <c r="E55" s="323"/>
      <c r="F55" s="233"/>
      <c r="G55" s="233">
        <f>'Du toanthu chi'!G22</f>
        <v>99900000</v>
      </c>
      <c r="H55" s="323"/>
    </row>
    <row r="56" spans="1:8" s="218" customFormat="1" ht="36">
      <c r="A56" s="260" t="s">
        <v>54</v>
      </c>
      <c r="B56" s="261" t="s">
        <v>197</v>
      </c>
      <c r="C56" s="191"/>
      <c r="D56" s="233"/>
      <c r="E56" s="323"/>
      <c r="F56" s="356"/>
      <c r="G56" s="233">
        <f>'Du toanthu chi'!G23</f>
        <v>35000000</v>
      </c>
      <c r="H56" s="323"/>
    </row>
    <row r="57" spans="1:8" s="312" customFormat="1" ht="35.25" customHeight="1">
      <c r="A57" s="257">
        <v>10</v>
      </c>
      <c r="B57" s="258" t="s">
        <v>244</v>
      </c>
      <c r="C57" s="278"/>
      <c r="D57" s="267"/>
      <c r="E57" s="267"/>
      <c r="F57" s="267"/>
      <c r="G57" s="233">
        <f>'Du toanthu chi'!G24</f>
        <v>490000000</v>
      </c>
      <c r="H57" s="323"/>
    </row>
    <row r="58" spans="1:8" s="218" customFormat="1" ht="30.75" customHeight="1">
      <c r="A58" s="227" t="s">
        <v>214</v>
      </c>
      <c r="B58" s="127" t="s">
        <v>141</v>
      </c>
      <c r="C58" s="191"/>
      <c r="D58" s="233"/>
      <c r="E58" s="323"/>
      <c r="F58" s="233"/>
      <c r="G58" s="229">
        <f>SUM(G59:G77)</f>
        <v>16660940000</v>
      </c>
      <c r="H58" s="323"/>
    </row>
    <row r="59" spans="1:8" s="218" customFormat="1" ht="30.75" customHeight="1">
      <c r="A59" s="254">
        <v>1</v>
      </c>
      <c r="B59" s="255" t="s">
        <v>192</v>
      </c>
      <c r="C59" s="191"/>
      <c r="D59" s="233"/>
      <c r="E59" s="323"/>
      <c r="F59" s="233"/>
      <c r="G59" s="233">
        <f>'Du toanthu chi'!G26</f>
        <v>5811000000</v>
      </c>
      <c r="H59" s="323"/>
    </row>
    <row r="60" spans="1:8" s="218" customFormat="1" ht="30.75" customHeight="1">
      <c r="A60" s="257">
        <f aca="true" t="shared" si="3" ref="A60:A65">A59+1</f>
        <v>2</v>
      </c>
      <c r="B60" s="258" t="s">
        <v>193</v>
      </c>
      <c r="C60" s="191"/>
      <c r="D60" s="233"/>
      <c r="E60" s="323"/>
      <c r="F60" s="233"/>
      <c r="G60" s="233">
        <f>'Du toanthu chi'!G27</f>
        <v>1395000000</v>
      </c>
      <c r="H60" s="323"/>
    </row>
    <row r="61" spans="1:8" s="218" customFormat="1" ht="36">
      <c r="A61" s="257">
        <f t="shared" si="3"/>
        <v>3</v>
      </c>
      <c r="B61" s="259" t="s">
        <v>194</v>
      </c>
      <c r="C61" s="191"/>
      <c r="D61" s="233"/>
      <c r="E61" s="323"/>
      <c r="F61" s="233"/>
      <c r="G61" s="233">
        <f>'Du toanthu chi'!G28</f>
        <v>1596000000</v>
      </c>
      <c r="H61" s="323"/>
    </row>
    <row r="62" spans="1:8" s="218" customFormat="1" ht="36">
      <c r="A62" s="257">
        <f t="shared" si="3"/>
        <v>4</v>
      </c>
      <c r="B62" s="258" t="s">
        <v>255</v>
      </c>
      <c r="C62" s="191"/>
      <c r="D62" s="233"/>
      <c r="E62" s="323"/>
      <c r="F62" s="233"/>
      <c r="G62" s="233">
        <f>'Du toanthu chi'!G29</f>
        <v>62000000</v>
      </c>
      <c r="H62" s="323"/>
    </row>
    <row r="63" spans="1:8" s="218" customFormat="1" ht="54">
      <c r="A63" s="257">
        <f t="shared" si="3"/>
        <v>5</v>
      </c>
      <c r="B63" s="258" t="s">
        <v>256</v>
      </c>
      <c r="C63" s="191"/>
      <c r="D63" s="233"/>
      <c r="E63" s="323"/>
      <c r="F63" s="233"/>
      <c r="G63" s="233">
        <f>'Du toanthu chi'!G30</f>
        <v>3800000</v>
      </c>
      <c r="H63" s="323"/>
    </row>
    <row r="64" spans="1:8" s="218" customFormat="1" ht="90">
      <c r="A64" s="257">
        <f t="shared" si="3"/>
        <v>6</v>
      </c>
      <c r="B64" s="258" t="s">
        <v>257</v>
      </c>
      <c r="C64" s="191"/>
      <c r="D64" s="233"/>
      <c r="E64" s="323"/>
      <c r="F64" s="233"/>
      <c r="G64" s="233">
        <f>'Du toanthu chi'!G31</f>
        <v>380000</v>
      </c>
      <c r="H64" s="323"/>
    </row>
    <row r="65" spans="1:8" s="218" customFormat="1" ht="30.75" customHeight="1">
      <c r="A65" s="257">
        <f t="shared" si="3"/>
        <v>7</v>
      </c>
      <c r="B65" s="258" t="s">
        <v>195</v>
      </c>
      <c r="C65" s="191"/>
      <c r="D65" s="233"/>
      <c r="E65" s="323"/>
      <c r="F65" s="233"/>
      <c r="G65" s="233">
        <f>'Du toanthu chi'!G32</f>
        <v>0</v>
      </c>
      <c r="H65" s="323"/>
    </row>
    <row r="66" spans="1:8" s="218" customFormat="1" ht="36">
      <c r="A66" s="257" t="s">
        <v>50</v>
      </c>
      <c r="B66" s="259" t="s">
        <v>258</v>
      </c>
      <c r="C66" s="191"/>
      <c r="D66" s="233"/>
      <c r="E66" s="323"/>
      <c r="F66" s="233"/>
      <c r="G66" s="233">
        <f>'Du toanthu chi'!G33</f>
        <v>2600000</v>
      </c>
      <c r="H66" s="323"/>
    </row>
    <row r="67" spans="1:8" s="218" customFormat="1" ht="36">
      <c r="A67" s="257" t="s">
        <v>53</v>
      </c>
      <c r="B67" s="259" t="s">
        <v>259</v>
      </c>
      <c r="C67" s="191"/>
      <c r="D67" s="233"/>
      <c r="E67" s="323"/>
      <c r="F67" s="233"/>
      <c r="G67" s="233">
        <f>'Du toanthu chi'!G34</f>
        <v>1550000</v>
      </c>
      <c r="H67" s="323"/>
    </row>
    <row r="68" spans="1:8" s="218" customFormat="1" ht="54">
      <c r="A68" s="257" t="s">
        <v>54</v>
      </c>
      <c r="B68" s="259" t="s">
        <v>260</v>
      </c>
      <c r="C68" s="191"/>
      <c r="D68" s="233"/>
      <c r="E68" s="323"/>
      <c r="F68" s="233"/>
      <c r="G68" s="233">
        <f>'Du toanthu chi'!G35</f>
        <v>3800000</v>
      </c>
      <c r="H68" s="323"/>
    </row>
    <row r="69" spans="1:8" s="218" customFormat="1" ht="36">
      <c r="A69" s="257">
        <v>8</v>
      </c>
      <c r="B69" s="258" t="s">
        <v>196</v>
      </c>
      <c r="C69" s="191"/>
      <c r="D69" s="233"/>
      <c r="E69" s="323"/>
      <c r="F69" s="233"/>
      <c r="G69" s="233">
        <f>'Du toanthu chi'!G36</f>
        <v>0</v>
      </c>
      <c r="H69" s="323"/>
    </row>
    <row r="70" spans="1:8" s="218" customFormat="1" ht="54">
      <c r="A70" s="260" t="s">
        <v>50</v>
      </c>
      <c r="B70" s="261" t="s">
        <v>250</v>
      </c>
      <c r="C70" s="191"/>
      <c r="D70" s="233"/>
      <c r="E70" s="323"/>
      <c r="F70" s="233"/>
      <c r="G70" s="233">
        <f>'Du toanthu chi'!G37</f>
        <v>220000</v>
      </c>
      <c r="H70" s="323"/>
    </row>
    <row r="71" spans="1:8" s="218" customFormat="1" ht="54">
      <c r="A71" s="263" t="s">
        <v>53</v>
      </c>
      <c r="B71" s="264" t="s">
        <v>251</v>
      </c>
      <c r="C71" s="191"/>
      <c r="D71" s="233"/>
      <c r="E71" s="323"/>
      <c r="F71" s="233"/>
      <c r="G71" s="233">
        <f>'Du toanthu chi'!G38</f>
        <v>260000</v>
      </c>
      <c r="H71" s="323"/>
    </row>
    <row r="72" spans="1:8" s="218" customFormat="1" ht="72">
      <c r="A72" s="257" t="s">
        <v>54</v>
      </c>
      <c r="B72" s="259" t="s">
        <v>252</v>
      </c>
      <c r="C72" s="191"/>
      <c r="D72" s="233"/>
      <c r="E72" s="323"/>
      <c r="F72" s="233"/>
      <c r="G72" s="233">
        <f>'Du toanthu chi'!G39</f>
        <v>330000</v>
      </c>
      <c r="H72" s="323"/>
    </row>
    <row r="73" spans="1:8" s="218" customFormat="1" ht="36">
      <c r="A73" s="257">
        <v>9</v>
      </c>
      <c r="B73" s="258" t="s">
        <v>197</v>
      </c>
      <c r="C73" s="191"/>
      <c r="D73" s="233"/>
      <c r="E73" s="323"/>
      <c r="F73" s="233"/>
      <c r="G73" s="233">
        <f>'Du toanthu chi'!G40</f>
        <v>0</v>
      </c>
      <c r="H73" s="323"/>
    </row>
    <row r="74" spans="1:8" s="218" customFormat="1" ht="30.75" customHeight="1">
      <c r="A74" s="257" t="s">
        <v>50</v>
      </c>
      <c r="B74" s="259" t="s">
        <v>253</v>
      </c>
      <c r="C74" s="191"/>
      <c r="D74" s="233"/>
      <c r="E74" s="323"/>
      <c r="F74" s="233"/>
      <c r="G74" s="233">
        <f>'Du toanthu chi'!G41</f>
        <v>5499000000</v>
      </c>
      <c r="H74" s="323"/>
    </row>
    <row r="75" spans="1:8" s="218" customFormat="1" ht="30.75" customHeight="1">
      <c r="A75" s="257" t="s">
        <v>53</v>
      </c>
      <c r="B75" s="259" t="s">
        <v>254</v>
      </c>
      <c r="C75" s="191"/>
      <c r="D75" s="233"/>
      <c r="E75" s="323"/>
      <c r="F75" s="233"/>
      <c r="G75" s="233">
        <f>'Du toanthu chi'!G42</f>
        <v>930000000</v>
      </c>
      <c r="H75" s="323"/>
    </row>
    <row r="76" spans="1:8" s="218" customFormat="1" ht="42" customHeight="1">
      <c r="A76" s="260" t="s">
        <v>54</v>
      </c>
      <c r="B76" s="261" t="s">
        <v>197</v>
      </c>
      <c r="C76" s="191"/>
      <c r="D76" s="233"/>
      <c r="E76" s="323"/>
      <c r="F76" s="233"/>
      <c r="G76" s="233">
        <f>'Du toanthu chi'!G43</f>
        <v>1235000000</v>
      </c>
      <c r="H76" s="323"/>
    </row>
    <row r="77" spans="1:8" s="218" customFormat="1" ht="30.75" customHeight="1">
      <c r="A77" s="257">
        <v>10</v>
      </c>
      <c r="B77" s="258" t="s">
        <v>244</v>
      </c>
      <c r="C77" s="191"/>
      <c r="D77" s="233"/>
      <c r="E77" s="323"/>
      <c r="F77" s="233"/>
      <c r="G77" s="233">
        <f>'Du toanthu chi'!G44</f>
        <v>120000000</v>
      </c>
      <c r="H77" s="323"/>
    </row>
    <row r="78" spans="1:8" ht="30" customHeight="1">
      <c r="A78" s="357" t="s">
        <v>58</v>
      </c>
      <c r="B78" s="358" t="s">
        <v>228</v>
      </c>
      <c r="C78" s="357"/>
      <c r="D78" s="357"/>
      <c r="E78" s="357"/>
      <c r="F78" s="357"/>
      <c r="G78" s="359">
        <f>G5/G37</f>
        <v>1.0268292866159991</v>
      </c>
      <c r="H78" s="360"/>
    </row>
  </sheetData>
  <sheetProtection/>
  <mergeCells count="128">
    <mergeCell ref="A2:H2"/>
    <mergeCell ref="A3:H3"/>
    <mergeCell ref="IJ1:IK1"/>
    <mergeCell ref="IL1:IM1"/>
    <mergeCell ref="IN1:IO1"/>
    <mergeCell ref="IP1:IQ1"/>
    <mergeCell ref="HL1:HM1"/>
    <mergeCell ref="HN1:HO1"/>
    <mergeCell ref="HP1:HQ1"/>
    <mergeCell ref="HR1:HS1"/>
    <mergeCell ref="IR1:IS1"/>
    <mergeCell ref="IT1:IU1"/>
    <mergeCell ref="HX1:HY1"/>
    <mergeCell ref="HZ1:IA1"/>
    <mergeCell ref="IB1:IC1"/>
    <mergeCell ref="ID1:IE1"/>
    <mergeCell ref="IF1:IG1"/>
    <mergeCell ref="IH1:II1"/>
    <mergeCell ref="HT1:HU1"/>
    <mergeCell ref="HV1:HW1"/>
    <mergeCell ref="GZ1:HA1"/>
    <mergeCell ref="HB1:HC1"/>
    <mergeCell ref="HD1:HE1"/>
    <mergeCell ref="HF1:HG1"/>
    <mergeCell ref="HH1:HI1"/>
    <mergeCell ref="HJ1:HK1"/>
    <mergeCell ref="GN1:GO1"/>
    <mergeCell ref="GP1:GQ1"/>
    <mergeCell ref="GR1:GS1"/>
    <mergeCell ref="GT1:GU1"/>
    <mergeCell ref="GV1:GW1"/>
    <mergeCell ref="GX1:GY1"/>
    <mergeCell ref="GB1:GC1"/>
    <mergeCell ref="GD1:GE1"/>
    <mergeCell ref="GF1:GG1"/>
    <mergeCell ref="GH1:GI1"/>
    <mergeCell ref="GJ1:GK1"/>
    <mergeCell ref="GL1:GM1"/>
    <mergeCell ref="FP1:FQ1"/>
    <mergeCell ref="FR1:FS1"/>
    <mergeCell ref="FT1:FU1"/>
    <mergeCell ref="FV1:FW1"/>
    <mergeCell ref="FX1:FY1"/>
    <mergeCell ref="FZ1:GA1"/>
    <mergeCell ref="FD1:FE1"/>
    <mergeCell ref="FF1:FG1"/>
    <mergeCell ref="FH1:FI1"/>
    <mergeCell ref="FJ1:FK1"/>
    <mergeCell ref="FL1:FM1"/>
    <mergeCell ref="FN1:FO1"/>
    <mergeCell ref="ER1:ES1"/>
    <mergeCell ref="ET1:EU1"/>
    <mergeCell ref="EV1:EW1"/>
    <mergeCell ref="EX1:EY1"/>
    <mergeCell ref="EZ1:FA1"/>
    <mergeCell ref="FB1:FC1"/>
    <mergeCell ref="EF1:EG1"/>
    <mergeCell ref="EH1:EI1"/>
    <mergeCell ref="EJ1:EK1"/>
    <mergeCell ref="EL1:EM1"/>
    <mergeCell ref="EN1:EO1"/>
    <mergeCell ref="EP1:EQ1"/>
    <mergeCell ref="DT1:DU1"/>
    <mergeCell ref="DV1:DW1"/>
    <mergeCell ref="DX1:DY1"/>
    <mergeCell ref="DZ1:EA1"/>
    <mergeCell ref="EB1:EC1"/>
    <mergeCell ref="ED1:EE1"/>
    <mergeCell ref="DH1:DI1"/>
    <mergeCell ref="DJ1:DK1"/>
    <mergeCell ref="DL1:DM1"/>
    <mergeCell ref="DN1:DO1"/>
    <mergeCell ref="DP1:DQ1"/>
    <mergeCell ref="DR1:DS1"/>
    <mergeCell ref="CV1:CW1"/>
    <mergeCell ref="CX1:CY1"/>
    <mergeCell ref="CZ1:DA1"/>
    <mergeCell ref="DB1:DC1"/>
    <mergeCell ref="DD1:DE1"/>
    <mergeCell ref="DF1:DG1"/>
    <mergeCell ref="CJ1:CK1"/>
    <mergeCell ref="CL1:CM1"/>
    <mergeCell ref="CN1:CO1"/>
    <mergeCell ref="CP1:CQ1"/>
    <mergeCell ref="CR1:CS1"/>
    <mergeCell ref="CT1:CU1"/>
    <mergeCell ref="BX1:BY1"/>
    <mergeCell ref="BZ1:CA1"/>
    <mergeCell ref="CB1:CC1"/>
    <mergeCell ref="CD1:CE1"/>
    <mergeCell ref="CF1:CG1"/>
    <mergeCell ref="CH1:CI1"/>
    <mergeCell ref="BL1:BM1"/>
    <mergeCell ref="BN1:BO1"/>
    <mergeCell ref="BP1:BQ1"/>
    <mergeCell ref="BR1:BS1"/>
    <mergeCell ref="BT1:BU1"/>
    <mergeCell ref="BV1:BW1"/>
    <mergeCell ref="AZ1:BA1"/>
    <mergeCell ref="BB1:BC1"/>
    <mergeCell ref="BD1:BE1"/>
    <mergeCell ref="BF1:BG1"/>
    <mergeCell ref="BH1:BI1"/>
    <mergeCell ref="BJ1:BK1"/>
    <mergeCell ref="AN1:AO1"/>
    <mergeCell ref="AP1:AQ1"/>
    <mergeCell ref="AR1:AS1"/>
    <mergeCell ref="AT1:AU1"/>
    <mergeCell ref="AV1:AW1"/>
    <mergeCell ref="AX1:AY1"/>
    <mergeCell ref="AB1:AC1"/>
    <mergeCell ref="AD1:AE1"/>
    <mergeCell ref="AF1:AG1"/>
    <mergeCell ref="AH1:AI1"/>
    <mergeCell ref="AJ1:AK1"/>
    <mergeCell ref="AL1:AM1"/>
    <mergeCell ref="P1:Q1"/>
    <mergeCell ref="R1:S1"/>
    <mergeCell ref="T1:U1"/>
    <mergeCell ref="V1:W1"/>
    <mergeCell ref="X1:Y1"/>
    <mergeCell ref="Z1:AA1"/>
    <mergeCell ref="A1:B1"/>
    <mergeCell ref="C1:D1"/>
    <mergeCell ref="E1:H1"/>
    <mergeCell ref="J1:K1"/>
    <mergeCell ref="L1:M1"/>
    <mergeCell ref="N1:O1"/>
  </mergeCells>
  <printOptions horizontalCentered="1"/>
  <pageMargins left="0" right="0" top="0.5118110236220472" bottom="0.5118110236220472" header="0" footer="0.2362204724409449"/>
  <pageSetup horizontalDpi="600" verticalDpi="600" orientation="landscape" paperSize="9" scale="85"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dimension ref="A1:J72"/>
  <sheetViews>
    <sheetView tabSelected="1" workbookViewId="0" topLeftCell="A1">
      <selection activeCell="A4" sqref="A4:E28"/>
    </sheetView>
  </sheetViews>
  <sheetFormatPr defaultColWidth="8.88671875" defaultRowHeight="18.75"/>
  <cols>
    <col min="1" max="1" width="6.99609375" style="199" customWidth="1"/>
    <col min="2" max="2" width="44.10546875" style="186" customWidth="1"/>
    <col min="3" max="3" width="18.6640625" style="199" customWidth="1"/>
    <col min="4" max="4" width="13.10546875" style="201" customWidth="1"/>
    <col min="5" max="5" width="15.21484375" style="201" customWidth="1"/>
    <col min="6" max="6" width="17.3359375" style="186" hidden="1" customWidth="1"/>
    <col min="7" max="7" width="19.10546875" style="187" hidden="1" customWidth="1"/>
    <col min="8" max="10" width="12.10546875" style="188" customWidth="1"/>
    <col min="11" max="16384" width="8.88671875" style="186" customWidth="1"/>
  </cols>
  <sheetData>
    <row r="1" ht="18">
      <c r="E1" s="266" t="s">
        <v>262</v>
      </c>
    </row>
    <row r="2" spans="1:5" ht="18">
      <c r="A2" s="184" t="s">
        <v>178</v>
      </c>
      <c r="B2" s="184"/>
      <c r="C2" s="398" t="s">
        <v>179</v>
      </c>
      <c r="D2" s="398"/>
      <c r="E2" s="398"/>
    </row>
    <row r="3" spans="1:5" ht="14.25" customHeight="1">
      <c r="A3" s="184" t="s">
        <v>180</v>
      </c>
      <c r="B3" s="184"/>
      <c r="C3" s="398" t="s">
        <v>181</v>
      </c>
      <c r="D3" s="398"/>
      <c r="E3" s="398"/>
    </row>
    <row r="4" spans="1:10" ht="68.25" customHeight="1">
      <c r="A4" s="399" t="s">
        <v>190</v>
      </c>
      <c r="B4" s="399"/>
      <c r="C4" s="399"/>
      <c r="D4" s="399"/>
      <c r="E4" s="399"/>
      <c r="F4" s="184"/>
      <c r="G4" s="189"/>
      <c r="H4" s="186"/>
      <c r="I4" s="186"/>
      <c r="J4" s="186"/>
    </row>
    <row r="5" spans="1:10" ht="37.5" customHeight="1" hidden="1">
      <c r="A5" s="400" t="s">
        <v>182</v>
      </c>
      <c r="B5" s="401"/>
      <c r="C5" s="401"/>
      <c r="D5" s="401"/>
      <c r="E5" s="401"/>
      <c r="F5" s="184"/>
      <c r="G5" s="189"/>
      <c r="H5" s="186"/>
      <c r="I5" s="186"/>
      <c r="J5" s="186"/>
    </row>
    <row r="6" spans="1:10" ht="12.75" customHeight="1">
      <c r="A6" s="185"/>
      <c r="B6" s="185"/>
      <c r="C6" s="185"/>
      <c r="D6" s="185"/>
      <c r="E6" s="185"/>
      <c r="F6" s="184"/>
      <c r="G6" s="189"/>
      <c r="H6" s="186"/>
      <c r="I6" s="186"/>
      <c r="J6" s="186"/>
    </row>
    <row r="7" spans="1:10" ht="30.75" customHeight="1">
      <c r="A7" s="402" t="s">
        <v>0</v>
      </c>
      <c r="B7" s="402" t="s">
        <v>261</v>
      </c>
      <c r="C7" s="402" t="s">
        <v>4</v>
      </c>
      <c r="D7" s="402" t="s">
        <v>183</v>
      </c>
      <c r="E7" s="402"/>
      <c r="F7" s="184"/>
      <c r="G7" s="189"/>
      <c r="H7" s="186"/>
      <c r="I7" s="186"/>
      <c r="J7" s="186"/>
    </row>
    <row r="8" spans="1:10" ht="41.25" customHeight="1">
      <c r="A8" s="402"/>
      <c r="B8" s="402"/>
      <c r="C8" s="402"/>
      <c r="D8" s="190" t="s">
        <v>188</v>
      </c>
      <c r="E8" s="190" t="s">
        <v>189</v>
      </c>
      <c r="F8" s="185"/>
      <c r="G8" s="189"/>
      <c r="H8" s="186"/>
      <c r="I8" s="186"/>
      <c r="J8" s="186"/>
    </row>
    <row r="9" spans="1:10" ht="30" customHeight="1">
      <c r="A9" s="254">
        <v>1</v>
      </c>
      <c r="B9" s="255" t="s">
        <v>192</v>
      </c>
      <c r="C9" s="256" t="s">
        <v>137</v>
      </c>
      <c r="D9" s="256">
        <f>'[7]MUC THUCHITIET '!$T$8</f>
        <v>550000</v>
      </c>
      <c r="E9" s="256">
        <f>'[7]MUC THUCHITIET '!$T$144</f>
        <v>260000</v>
      </c>
      <c r="F9" s="185" t="s">
        <v>184</v>
      </c>
      <c r="G9" s="189"/>
      <c r="H9" s="186"/>
      <c r="I9" s="252"/>
      <c r="J9" s="186"/>
    </row>
    <row r="10" spans="1:10" ht="24.75" customHeight="1">
      <c r="A10" s="257">
        <f aca="true" t="shared" si="0" ref="A10:A15">A9+1</f>
        <v>2</v>
      </c>
      <c r="B10" s="258" t="s">
        <v>193</v>
      </c>
      <c r="C10" s="191" t="s">
        <v>137</v>
      </c>
      <c r="D10" s="191">
        <f>'[7]MUC THUCHITIET '!$T$23</f>
        <v>540000</v>
      </c>
      <c r="E10" s="191">
        <f>'[7]MUC THUCHITIET '!$T$159</f>
        <v>310000</v>
      </c>
      <c r="F10" s="185"/>
      <c r="G10" s="189"/>
      <c r="H10" s="186"/>
      <c r="I10" s="186"/>
      <c r="J10" s="186"/>
    </row>
    <row r="11" spans="1:10" ht="57" customHeight="1">
      <c r="A11" s="257">
        <f t="shared" si="0"/>
        <v>3</v>
      </c>
      <c r="B11" s="259" t="s">
        <v>194</v>
      </c>
      <c r="C11" s="191" t="s">
        <v>137</v>
      </c>
      <c r="D11" s="191">
        <f>'[7]MUC THUCHITIET '!$T$38</f>
        <v>700000</v>
      </c>
      <c r="E11" s="191">
        <f>'[7]MUC THUCHITIET '!$T$174</f>
        <v>380000</v>
      </c>
      <c r="F11" s="185"/>
      <c r="G11" s="189"/>
      <c r="H11" s="186"/>
      <c r="I11" s="186"/>
      <c r="J11" s="186"/>
    </row>
    <row r="12" spans="1:10" ht="48.75" customHeight="1">
      <c r="A12" s="257">
        <f t="shared" si="0"/>
        <v>4</v>
      </c>
      <c r="B12" s="258" t="s">
        <v>267</v>
      </c>
      <c r="C12" s="191" t="s">
        <v>137</v>
      </c>
      <c r="D12" s="191">
        <f>'[7]MUC THUCHITIET '!$T$53</f>
        <v>540000</v>
      </c>
      <c r="E12" s="191">
        <f>'[7]MUC THUCHITIET '!$T$189</f>
        <v>310000</v>
      </c>
      <c r="F12" s="185"/>
      <c r="G12" s="189"/>
      <c r="H12" s="186"/>
      <c r="I12" s="186"/>
      <c r="J12" s="186"/>
    </row>
    <row r="13" spans="1:10" ht="49.5" customHeight="1">
      <c r="A13" s="257">
        <f t="shared" si="0"/>
        <v>5</v>
      </c>
      <c r="B13" s="258" t="s">
        <v>268</v>
      </c>
      <c r="C13" s="191" t="s">
        <v>137</v>
      </c>
      <c r="D13" s="191">
        <f>'[7]MUC THUCHITIET '!$T$54</f>
        <v>700000</v>
      </c>
      <c r="E13" s="191">
        <f>'[7]MUC THUCHITIET '!$T$190</f>
        <v>380000</v>
      </c>
      <c r="F13" s="185"/>
      <c r="G13" s="189"/>
      <c r="H13" s="186"/>
      <c r="I13" s="186"/>
      <c r="J13" s="186"/>
    </row>
    <row r="14" spans="1:10" ht="84" customHeight="1">
      <c r="A14" s="257">
        <f t="shared" si="0"/>
        <v>6</v>
      </c>
      <c r="B14" s="258" t="s">
        <v>269</v>
      </c>
      <c r="C14" s="191" t="s">
        <v>137</v>
      </c>
      <c r="D14" s="191">
        <f>'[7]MUC THUCHITIET '!$T$55</f>
        <v>700000</v>
      </c>
      <c r="E14" s="191">
        <f>'[7]MUC THUCHITIET '!$T$191</f>
        <v>380000</v>
      </c>
      <c r="F14" s="185"/>
      <c r="G14" s="189"/>
      <c r="H14" s="186"/>
      <c r="I14" s="186"/>
      <c r="J14" s="186"/>
    </row>
    <row r="15" spans="1:10" ht="31.5" customHeight="1">
      <c r="A15" s="257">
        <f t="shared" si="0"/>
        <v>7</v>
      </c>
      <c r="B15" s="258" t="s">
        <v>195</v>
      </c>
      <c r="C15" s="191" t="s">
        <v>137</v>
      </c>
      <c r="D15" s="191"/>
      <c r="E15" s="191"/>
      <c r="F15" s="185" t="s">
        <v>185</v>
      </c>
      <c r="G15" s="189"/>
      <c r="H15" s="192"/>
      <c r="I15" s="192"/>
      <c r="J15" s="192"/>
    </row>
    <row r="16" spans="1:10" ht="36">
      <c r="A16" s="257" t="s">
        <v>50</v>
      </c>
      <c r="B16" s="259" t="s">
        <v>270</v>
      </c>
      <c r="C16" s="191" t="s">
        <v>137</v>
      </c>
      <c r="D16" s="191">
        <f aca="true" t="shared" si="1" ref="D16:E18">D9</f>
        <v>550000</v>
      </c>
      <c r="E16" s="191">
        <f t="shared" si="1"/>
        <v>260000</v>
      </c>
      <c r="F16" s="185"/>
      <c r="G16" s="189"/>
      <c r="H16" s="192"/>
      <c r="I16" s="192"/>
      <c r="J16" s="192"/>
    </row>
    <row r="17" spans="1:10" ht="18">
      <c r="A17" s="257" t="s">
        <v>53</v>
      </c>
      <c r="B17" s="259" t="s">
        <v>271</v>
      </c>
      <c r="C17" s="191" t="s">
        <v>137</v>
      </c>
      <c r="D17" s="191">
        <f t="shared" si="1"/>
        <v>540000</v>
      </c>
      <c r="E17" s="191">
        <f t="shared" si="1"/>
        <v>310000</v>
      </c>
      <c r="F17" s="185"/>
      <c r="G17" s="189"/>
      <c r="H17" s="192"/>
      <c r="I17" s="192"/>
      <c r="J17" s="192"/>
    </row>
    <row r="18" spans="1:10" ht="50.25" customHeight="1">
      <c r="A18" s="257" t="s">
        <v>54</v>
      </c>
      <c r="B18" s="259" t="s">
        <v>272</v>
      </c>
      <c r="C18" s="191" t="s">
        <v>137</v>
      </c>
      <c r="D18" s="191">
        <f t="shared" si="1"/>
        <v>700000</v>
      </c>
      <c r="E18" s="191">
        <f t="shared" si="1"/>
        <v>380000</v>
      </c>
      <c r="F18" s="185"/>
      <c r="G18" s="189"/>
      <c r="H18" s="192"/>
      <c r="I18" s="192"/>
      <c r="J18" s="192"/>
    </row>
    <row r="19" spans="1:10" ht="46.5" customHeight="1">
      <c r="A19" s="257">
        <v>8</v>
      </c>
      <c r="B19" s="258" t="s">
        <v>196</v>
      </c>
      <c r="C19" s="191" t="s">
        <v>137</v>
      </c>
      <c r="D19" s="191"/>
      <c r="E19" s="191"/>
      <c r="F19" s="185" t="s">
        <v>184</v>
      </c>
      <c r="G19" s="193"/>
      <c r="H19" s="186"/>
      <c r="I19" s="186"/>
      <c r="J19" s="186"/>
    </row>
    <row r="20" spans="1:10" ht="57.75" customHeight="1">
      <c r="A20" s="260" t="s">
        <v>50</v>
      </c>
      <c r="B20" s="261" t="s">
        <v>250</v>
      </c>
      <c r="C20" s="262" t="s">
        <v>137</v>
      </c>
      <c r="D20" s="262">
        <f>'[7]MUC THUCHITIET '!$T$61</f>
        <v>490000</v>
      </c>
      <c r="E20" s="262">
        <f>'[7]MUC THUCHITIET '!$T$197</f>
        <v>220000</v>
      </c>
      <c r="F20" s="185"/>
      <c r="G20" s="193"/>
      <c r="H20" s="186"/>
      <c r="I20" s="186"/>
      <c r="J20" s="186"/>
    </row>
    <row r="21" spans="1:10" ht="54">
      <c r="A21" s="263" t="s">
        <v>53</v>
      </c>
      <c r="B21" s="264" t="s">
        <v>251</v>
      </c>
      <c r="C21" s="265" t="s">
        <v>137</v>
      </c>
      <c r="D21" s="265">
        <f>'[7]MUC THUCHITIET '!$T$73</f>
        <v>480000</v>
      </c>
      <c r="E21" s="265">
        <f>'[7]MUC THUCHITIET '!$T$209</f>
        <v>260000</v>
      </c>
      <c r="F21" s="185"/>
      <c r="G21" s="193"/>
      <c r="H21" s="186"/>
      <c r="I21" s="186"/>
      <c r="J21" s="186"/>
    </row>
    <row r="22" spans="1:10" ht="72">
      <c r="A22" s="257" t="s">
        <v>54</v>
      </c>
      <c r="B22" s="259" t="s">
        <v>252</v>
      </c>
      <c r="C22" s="191" t="s">
        <v>137</v>
      </c>
      <c r="D22" s="191">
        <f>'[7]MUC THUCHITIET '!$T$85</f>
        <v>640000</v>
      </c>
      <c r="E22" s="191">
        <f>'[7]MUC THUCHITIET '!$T$221</f>
        <v>330000</v>
      </c>
      <c r="F22" s="185"/>
      <c r="G22" s="193"/>
      <c r="H22" s="186"/>
      <c r="I22" s="186"/>
      <c r="J22" s="186"/>
    </row>
    <row r="23" spans="1:10" ht="36">
      <c r="A23" s="257">
        <v>9</v>
      </c>
      <c r="B23" s="258" t="s">
        <v>197</v>
      </c>
      <c r="C23" s="191" t="s">
        <v>137</v>
      </c>
      <c r="D23" s="191"/>
      <c r="E23" s="191"/>
      <c r="F23" s="185" t="s">
        <v>186</v>
      </c>
      <c r="G23" s="193" t="s">
        <v>185</v>
      </c>
      <c r="H23" s="186"/>
      <c r="I23" s="186"/>
      <c r="J23" s="186"/>
    </row>
    <row r="24" spans="1:10" ht="33" customHeight="1">
      <c r="A24" s="257" t="s">
        <v>50</v>
      </c>
      <c r="B24" s="259" t="s">
        <v>253</v>
      </c>
      <c r="C24" s="191" t="s">
        <v>137</v>
      </c>
      <c r="D24" s="191">
        <f>'[7]MUC THUCHITIET '!$T$98</f>
        <v>550000</v>
      </c>
      <c r="E24" s="253">
        <f>'[7]MUC THUCHITIET '!$T$234</f>
        <v>260000</v>
      </c>
      <c r="F24" s="185"/>
      <c r="G24" s="193"/>
      <c r="H24" s="186"/>
      <c r="I24" s="186"/>
      <c r="J24" s="186"/>
    </row>
    <row r="25" spans="1:10" ht="33" customHeight="1">
      <c r="A25" s="257" t="s">
        <v>53</v>
      </c>
      <c r="B25" s="259" t="s">
        <v>254</v>
      </c>
      <c r="C25" s="191" t="s">
        <v>137</v>
      </c>
      <c r="D25" s="191">
        <f>'[7]MUC THUCHITIET '!$T$113</f>
        <v>540000</v>
      </c>
      <c r="E25" s="191">
        <f>'[7]MUC THUCHITIET '!$T$250</f>
        <v>310000</v>
      </c>
      <c r="F25" s="185"/>
      <c r="G25" s="193"/>
      <c r="H25" s="186"/>
      <c r="I25" s="186"/>
      <c r="J25" s="186"/>
    </row>
    <row r="26" spans="1:10" ht="36" customHeight="1">
      <c r="A26" s="260" t="s">
        <v>54</v>
      </c>
      <c r="B26" s="261" t="s">
        <v>197</v>
      </c>
      <c r="C26" s="262" t="s">
        <v>137</v>
      </c>
      <c r="D26" s="262">
        <f>'[7]MUC THUCHITIET '!$T$128</f>
        <v>700000</v>
      </c>
      <c r="E26" s="262">
        <f>'[7]MUC THUCHITIET '!$T$264</f>
        <v>380000</v>
      </c>
      <c r="F26" s="185"/>
      <c r="G26" s="193"/>
      <c r="H26" s="186"/>
      <c r="I26" s="186"/>
      <c r="J26" s="186"/>
    </row>
    <row r="27" spans="1:10" ht="23.25" customHeight="1">
      <c r="A27" s="194" t="s">
        <v>187</v>
      </c>
      <c r="B27" s="194"/>
      <c r="C27" s="185"/>
      <c r="D27" s="195"/>
      <c r="E27" s="195"/>
      <c r="F27" s="185"/>
      <c r="G27" s="189"/>
      <c r="H27" s="186"/>
      <c r="I27" s="186"/>
      <c r="J27" s="186"/>
    </row>
    <row r="28" spans="1:10" ht="27" customHeight="1">
      <c r="A28" s="397" t="s">
        <v>275</v>
      </c>
      <c r="B28" s="397"/>
      <c r="C28" s="397"/>
      <c r="D28" s="397"/>
      <c r="E28" s="397"/>
      <c r="G28" s="189"/>
      <c r="H28" s="186"/>
      <c r="I28" s="186"/>
      <c r="J28" s="186"/>
    </row>
    <row r="29" spans="1:10" ht="23.25" customHeight="1">
      <c r="A29" s="196"/>
      <c r="B29" s="197"/>
      <c r="C29" s="197"/>
      <c r="D29" s="197"/>
      <c r="E29" s="198"/>
      <c r="G29" s="189"/>
      <c r="H29" s="186"/>
      <c r="I29" s="186"/>
      <c r="J29" s="186"/>
    </row>
    <row r="30" spans="1:10" ht="21" customHeight="1">
      <c r="A30" s="196"/>
      <c r="D30" s="200"/>
      <c r="G30" s="189"/>
      <c r="H30" s="186"/>
      <c r="I30" s="186"/>
      <c r="J30" s="186"/>
    </row>
    <row r="31" spans="1:4" ht="21.75" customHeight="1">
      <c r="A31" s="196"/>
      <c r="D31" s="200"/>
    </row>
    <row r="32" spans="2:10" ht="18">
      <c r="B32" s="201"/>
      <c r="C32" s="201"/>
      <c r="E32" s="188"/>
      <c r="F32" s="188"/>
      <c r="H32" s="186"/>
      <c r="I32" s="186"/>
      <c r="J32" s="186"/>
    </row>
    <row r="33" spans="2:10" ht="18">
      <c r="B33" s="201"/>
      <c r="C33" s="201"/>
      <c r="E33" s="188"/>
      <c r="F33" s="188"/>
      <c r="H33" s="186"/>
      <c r="I33" s="186"/>
      <c r="J33" s="186"/>
    </row>
    <row r="34" spans="2:10" ht="18">
      <c r="B34" s="201"/>
      <c r="C34" s="201"/>
      <c r="E34" s="188"/>
      <c r="F34" s="188"/>
      <c r="H34" s="186"/>
      <c r="I34" s="186"/>
      <c r="J34" s="186"/>
    </row>
    <row r="35" spans="2:10" ht="18">
      <c r="B35" s="201"/>
      <c r="C35" s="201"/>
      <c r="E35" s="188"/>
      <c r="F35" s="188"/>
      <c r="H35" s="186"/>
      <c r="I35" s="186"/>
      <c r="J35" s="186"/>
    </row>
    <row r="36" spans="2:10" ht="18">
      <c r="B36" s="201"/>
      <c r="C36" s="201"/>
      <c r="E36" s="188"/>
      <c r="F36" s="188"/>
      <c r="H36" s="186"/>
      <c r="I36" s="186"/>
      <c r="J36" s="186"/>
    </row>
    <row r="37" spans="2:10" ht="18">
      <c r="B37" s="201"/>
      <c r="C37" s="201"/>
      <c r="E37" s="188"/>
      <c r="F37" s="188"/>
      <c r="H37" s="186"/>
      <c r="I37" s="186"/>
      <c r="J37" s="186"/>
    </row>
    <row r="38" spans="2:10" ht="18">
      <c r="B38" s="201"/>
      <c r="C38" s="201"/>
      <c r="E38" s="188"/>
      <c r="F38" s="188"/>
      <c r="H38" s="186"/>
      <c r="I38" s="186"/>
      <c r="J38" s="186"/>
    </row>
    <row r="39" spans="2:10" ht="18">
      <c r="B39" s="201"/>
      <c r="C39" s="201"/>
      <c r="E39" s="188"/>
      <c r="F39" s="188"/>
      <c r="H39" s="186"/>
      <c r="I39" s="186"/>
      <c r="J39" s="186"/>
    </row>
    <row r="40" spans="2:10" ht="18">
      <c r="B40" s="201"/>
      <c r="C40" s="201"/>
      <c r="E40" s="188"/>
      <c r="F40" s="188"/>
      <c r="H40" s="186"/>
      <c r="I40" s="186"/>
      <c r="J40" s="186"/>
    </row>
    <row r="41" spans="2:10" ht="18">
      <c r="B41" s="201"/>
      <c r="C41" s="201"/>
      <c r="E41" s="188"/>
      <c r="F41" s="188"/>
      <c r="H41" s="186"/>
      <c r="I41" s="186"/>
      <c r="J41" s="186"/>
    </row>
    <row r="42" spans="2:10" ht="18">
      <c r="B42" s="201"/>
      <c r="C42" s="201"/>
      <c r="E42" s="188"/>
      <c r="F42" s="188"/>
      <c r="H42" s="186"/>
      <c r="I42" s="186"/>
      <c r="J42" s="186"/>
    </row>
    <row r="43" spans="2:10" ht="18">
      <c r="B43" s="201"/>
      <c r="C43" s="201"/>
      <c r="E43" s="188"/>
      <c r="F43" s="188"/>
      <c r="H43" s="186"/>
      <c r="I43" s="186"/>
      <c r="J43" s="186"/>
    </row>
    <row r="44" spans="2:10" ht="18">
      <c r="B44" s="201"/>
      <c r="C44" s="201"/>
      <c r="E44" s="188"/>
      <c r="F44" s="188"/>
      <c r="H44" s="186"/>
      <c r="I44" s="186"/>
      <c r="J44" s="186"/>
    </row>
    <row r="45" spans="2:10" ht="18">
      <c r="B45" s="201"/>
      <c r="C45" s="201"/>
      <c r="E45" s="188"/>
      <c r="F45" s="188"/>
      <c r="H45" s="186"/>
      <c r="I45" s="186"/>
      <c r="J45" s="186"/>
    </row>
    <row r="46" spans="2:10" ht="18">
      <c r="B46" s="201"/>
      <c r="C46" s="201"/>
      <c r="E46" s="188"/>
      <c r="F46" s="188"/>
      <c r="H46" s="186"/>
      <c r="I46" s="186"/>
      <c r="J46" s="186"/>
    </row>
    <row r="47" spans="2:10" ht="18">
      <c r="B47" s="201"/>
      <c r="C47" s="201"/>
      <c r="E47" s="188"/>
      <c r="F47" s="188"/>
      <c r="H47" s="186"/>
      <c r="I47" s="186"/>
      <c r="J47" s="186"/>
    </row>
    <row r="48" spans="2:10" ht="18">
      <c r="B48" s="201"/>
      <c r="C48" s="201"/>
      <c r="E48" s="188"/>
      <c r="F48" s="188"/>
      <c r="H48" s="186"/>
      <c r="I48" s="186"/>
      <c r="J48" s="186"/>
    </row>
    <row r="49" spans="2:10" ht="18">
      <c r="B49" s="201"/>
      <c r="C49" s="201"/>
      <c r="E49" s="188"/>
      <c r="F49" s="188"/>
      <c r="H49" s="186"/>
      <c r="I49" s="186"/>
      <c r="J49" s="186"/>
    </row>
    <row r="50" spans="2:10" ht="18">
      <c r="B50" s="201"/>
      <c r="C50" s="201"/>
      <c r="E50" s="188"/>
      <c r="F50" s="188"/>
      <c r="H50" s="186"/>
      <c r="I50" s="186"/>
      <c r="J50" s="186"/>
    </row>
    <row r="51" spans="2:10" ht="18">
      <c r="B51" s="201"/>
      <c r="C51" s="201"/>
      <c r="E51" s="188"/>
      <c r="F51" s="188"/>
      <c r="H51" s="186"/>
      <c r="I51" s="186"/>
      <c r="J51" s="186"/>
    </row>
    <row r="52" spans="2:10" ht="18">
      <c r="B52" s="201"/>
      <c r="C52" s="201"/>
      <c r="E52" s="188"/>
      <c r="F52" s="188"/>
      <c r="H52" s="186"/>
      <c r="I52" s="186"/>
      <c r="J52" s="186"/>
    </row>
    <row r="53" spans="2:10" ht="18">
      <c r="B53" s="201"/>
      <c r="C53" s="201"/>
      <c r="E53" s="188"/>
      <c r="F53" s="188"/>
      <c r="H53" s="186"/>
      <c r="I53" s="186"/>
      <c r="J53" s="186"/>
    </row>
    <row r="54" spans="2:10" ht="18">
      <c r="B54" s="201"/>
      <c r="C54" s="201"/>
      <c r="E54" s="188"/>
      <c r="F54" s="188"/>
      <c r="H54" s="186"/>
      <c r="I54" s="186"/>
      <c r="J54" s="186"/>
    </row>
    <row r="55" spans="2:10" ht="18">
      <c r="B55" s="201"/>
      <c r="C55" s="201"/>
      <c r="E55" s="188"/>
      <c r="F55" s="188"/>
      <c r="H55" s="186"/>
      <c r="I55" s="186"/>
      <c r="J55" s="186"/>
    </row>
    <row r="56" spans="2:10" ht="18">
      <c r="B56" s="201"/>
      <c r="C56" s="201"/>
      <c r="E56" s="188"/>
      <c r="F56" s="188"/>
      <c r="H56" s="186"/>
      <c r="I56" s="186"/>
      <c r="J56" s="186"/>
    </row>
    <row r="57" spans="2:10" ht="18">
      <c r="B57" s="201"/>
      <c r="C57" s="201"/>
      <c r="E57" s="188"/>
      <c r="F57" s="188"/>
      <c r="H57" s="186"/>
      <c r="I57" s="186"/>
      <c r="J57" s="186"/>
    </row>
    <row r="58" spans="2:10" ht="18">
      <c r="B58" s="201"/>
      <c r="C58" s="201"/>
      <c r="E58" s="188"/>
      <c r="F58" s="188"/>
      <c r="H58" s="186"/>
      <c r="I58" s="186"/>
      <c r="J58" s="186"/>
    </row>
    <row r="59" spans="2:10" ht="18">
      <c r="B59" s="201"/>
      <c r="C59" s="201"/>
      <c r="E59" s="188"/>
      <c r="F59" s="188"/>
      <c r="H59" s="186"/>
      <c r="I59" s="186"/>
      <c r="J59" s="186"/>
    </row>
    <row r="60" spans="2:10" ht="18">
      <c r="B60" s="201"/>
      <c r="C60" s="201"/>
      <c r="E60" s="188"/>
      <c r="F60" s="188"/>
      <c r="H60" s="186"/>
      <c r="I60" s="186"/>
      <c r="J60" s="186"/>
    </row>
    <row r="61" spans="2:10" ht="18">
      <c r="B61" s="201"/>
      <c r="C61" s="201"/>
      <c r="E61" s="188"/>
      <c r="F61" s="188"/>
      <c r="H61" s="186"/>
      <c r="I61" s="186"/>
      <c r="J61" s="186"/>
    </row>
    <row r="62" spans="2:10" ht="18">
      <c r="B62" s="201"/>
      <c r="C62" s="201"/>
      <c r="E62" s="188"/>
      <c r="F62" s="188"/>
      <c r="H62" s="186"/>
      <c r="I62" s="186"/>
      <c r="J62" s="186"/>
    </row>
    <row r="63" spans="2:10" ht="18">
      <c r="B63" s="201"/>
      <c r="C63" s="201"/>
      <c r="E63" s="188"/>
      <c r="F63" s="188"/>
      <c r="H63" s="186"/>
      <c r="I63" s="186"/>
      <c r="J63" s="186"/>
    </row>
    <row r="64" spans="2:10" ht="18">
      <c r="B64" s="201"/>
      <c r="C64" s="201"/>
      <c r="E64" s="188"/>
      <c r="F64" s="188"/>
      <c r="H64" s="186"/>
      <c r="I64" s="186"/>
      <c r="J64" s="186"/>
    </row>
    <row r="65" spans="2:10" ht="18">
      <c r="B65" s="201"/>
      <c r="C65" s="201"/>
      <c r="E65" s="188"/>
      <c r="F65" s="188"/>
      <c r="H65" s="186"/>
      <c r="I65" s="186"/>
      <c r="J65" s="186"/>
    </row>
    <row r="66" spans="2:10" ht="18">
      <c r="B66" s="201"/>
      <c r="C66" s="201"/>
      <c r="E66" s="188"/>
      <c r="F66" s="188"/>
      <c r="H66" s="186"/>
      <c r="I66" s="186"/>
      <c r="J66" s="186"/>
    </row>
    <row r="67" spans="2:10" ht="18">
      <c r="B67" s="201"/>
      <c r="C67" s="201"/>
      <c r="E67" s="188"/>
      <c r="F67" s="188"/>
      <c r="H67" s="186"/>
      <c r="I67" s="186"/>
      <c r="J67" s="186"/>
    </row>
    <row r="68" spans="2:10" ht="18">
      <c r="B68" s="201"/>
      <c r="C68" s="201"/>
      <c r="E68" s="188"/>
      <c r="F68" s="188"/>
      <c r="H68" s="186"/>
      <c r="I68" s="186"/>
      <c r="J68" s="186"/>
    </row>
    <row r="69" spans="2:10" ht="18">
      <c r="B69" s="201"/>
      <c r="C69" s="201"/>
      <c r="E69" s="188"/>
      <c r="F69" s="188"/>
      <c r="H69" s="186"/>
      <c r="I69" s="186"/>
      <c r="J69" s="186"/>
    </row>
    <row r="70" spans="2:10" ht="18">
      <c r="B70" s="201"/>
      <c r="C70" s="201"/>
      <c r="E70" s="188"/>
      <c r="F70" s="188"/>
      <c r="H70" s="186"/>
      <c r="I70" s="186"/>
      <c r="J70" s="186"/>
    </row>
    <row r="71" spans="2:10" ht="18">
      <c r="B71" s="201"/>
      <c r="C71" s="201"/>
      <c r="E71" s="188"/>
      <c r="F71" s="188"/>
      <c r="H71" s="186"/>
      <c r="I71" s="186"/>
      <c r="J71" s="186"/>
    </row>
    <row r="72" spans="2:10" ht="18">
      <c r="B72" s="201"/>
      <c r="C72" s="201"/>
      <c r="E72" s="188"/>
      <c r="F72" s="188"/>
      <c r="H72" s="186"/>
      <c r="I72" s="186"/>
      <c r="J72" s="186"/>
    </row>
  </sheetData>
  <sheetProtection/>
  <mergeCells count="9">
    <mergeCell ref="A28:E28"/>
    <mergeCell ref="C2:E2"/>
    <mergeCell ref="C3:E3"/>
    <mergeCell ref="A4:E4"/>
    <mergeCell ref="A5:E5"/>
    <mergeCell ref="A7:A8"/>
    <mergeCell ref="B7:B8"/>
    <mergeCell ref="C7:C8"/>
    <mergeCell ref="D7:E7"/>
  </mergeCells>
  <printOptions horizontalCentered="1"/>
  <pageMargins left="0" right="0" top="0.1968503937007874" bottom="0.1968503937007874" header="0.31496062992125984" footer="0.2362204724409449"/>
  <pageSetup horizontalDpi="600" verticalDpi="600" orientation="portrait" paperSize="9" scale="80" r:id="rId2"/>
  <headerFooter>
    <oddHeader>&amp;C&amp;P</oddHeader>
    <evenHeader>&amp;C&amp;P</evenHeader>
  </headerFooter>
  <drawing r:id="rId1"/>
</worksheet>
</file>

<file path=xl/worksheets/sheet4.xml><?xml version="1.0" encoding="utf-8"?>
<worksheet xmlns="http://schemas.openxmlformats.org/spreadsheetml/2006/main" xmlns:r="http://schemas.openxmlformats.org/officeDocument/2006/relationships">
  <dimension ref="B1:J72"/>
  <sheetViews>
    <sheetView view="pageBreakPreview" zoomScale="60" zoomScaleNormal="110" workbookViewId="0" topLeftCell="A46">
      <selection activeCell="G45" sqref="G45"/>
    </sheetView>
  </sheetViews>
  <sheetFormatPr defaultColWidth="8.88671875" defaultRowHeight="18.75"/>
  <cols>
    <col min="1" max="1" width="3.6640625" style="367" customWidth="1"/>
    <col min="2" max="2" width="5.77734375" style="370" customWidth="1"/>
    <col min="3" max="3" width="36.99609375" style="367" customWidth="1"/>
    <col min="4" max="4" width="17.10546875" style="367" customWidth="1"/>
    <col min="5" max="5" width="11.21484375" style="370" customWidth="1"/>
    <col min="6" max="6" width="13.10546875" style="367" customWidth="1"/>
    <col min="7" max="7" width="15.88671875" style="371" customWidth="1"/>
    <col min="8" max="8" width="15.88671875" style="367" customWidth="1"/>
    <col min="9" max="9" width="7.3359375" style="367" bestFit="1" customWidth="1"/>
    <col min="10" max="10" width="12.5546875" style="367" bestFit="1" customWidth="1"/>
    <col min="11" max="16384" width="8.88671875" style="367" customWidth="1"/>
  </cols>
  <sheetData>
    <row r="1" spans="2:8" ht="27.75" customHeight="1">
      <c r="B1" s="403"/>
      <c r="C1" s="403"/>
      <c r="D1" s="363"/>
      <c r="E1" s="364"/>
      <c r="F1" s="365"/>
      <c r="G1" s="366"/>
      <c r="H1" s="372" t="s">
        <v>191</v>
      </c>
    </row>
    <row r="2" spans="2:8" ht="54.75" customHeight="1">
      <c r="B2" s="404" t="s">
        <v>276</v>
      </c>
      <c r="C2" s="404"/>
      <c r="D2" s="404"/>
      <c r="E2" s="404"/>
      <c r="F2" s="404"/>
      <c r="G2" s="404"/>
      <c r="H2" s="404"/>
    </row>
    <row r="3" spans="2:8" ht="41.25" customHeight="1">
      <c r="B3" s="294" t="s">
        <v>121</v>
      </c>
      <c r="C3" s="294" t="s">
        <v>2</v>
      </c>
      <c r="D3" s="294" t="s">
        <v>122</v>
      </c>
      <c r="E3" s="294" t="s">
        <v>123</v>
      </c>
      <c r="F3" s="294" t="s">
        <v>124</v>
      </c>
      <c r="G3" s="294" t="s">
        <v>125</v>
      </c>
      <c r="H3" s="294" t="s">
        <v>1</v>
      </c>
    </row>
    <row r="4" spans="2:10" ht="27" customHeight="1">
      <c r="B4" s="299" t="s">
        <v>126</v>
      </c>
      <c r="C4" s="270" t="s">
        <v>127</v>
      </c>
      <c r="D4" s="299"/>
      <c r="E4" s="300">
        <f>SUM(E5,E25)</f>
        <v>72665</v>
      </c>
      <c r="F4" s="270"/>
      <c r="G4" s="301">
        <f>SUM(G5,G25)</f>
        <v>17816810000</v>
      </c>
      <c r="H4" s="302"/>
      <c r="J4" s="368"/>
    </row>
    <row r="5" spans="2:10" ht="31.5" customHeight="1">
      <c r="B5" s="299" t="s">
        <v>136</v>
      </c>
      <c r="C5" s="270" t="s">
        <v>138</v>
      </c>
      <c r="D5" s="299"/>
      <c r="E5" s="300">
        <f>SUM(E6:E24)</f>
        <v>10976</v>
      </c>
      <c r="F5" s="270"/>
      <c r="G5" s="301">
        <f>SUM(G6:G24)</f>
        <v>1155870000</v>
      </c>
      <c r="H5" s="302"/>
      <c r="J5" s="368">
        <f>E5*500</f>
        <v>5488000</v>
      </c>
    </row>
    <row r="6" spans="2:8" ht="38.25" customHeight="1">
      <c r="B6" s="257">
        <v>1</v>
      </c>
      <c r="C6" s="258" t="s">
        <v>192</v>
      </c>
      <c r="D6" s="278" t="s">
        <v>137</v>
      </c>
      <c r="E6" s="303">
        <v>245</v>
      </c>
      <c r="F6" s="303">
        <f>bieuthu!D9</f>
        <v>550000</v>
      </c>
      <c r="G6" s="267">
        <f>F6*E6</f>
        <v>134750000</v>
      </c>
      <c r="H6" s="258"/>
    </row>
    <row r="7" spans="2:9" ht="54.75" customHeight="1">
      <c r="B7" s="257">
        <f aca="true" t="shared" si="0" ref="B7:B12">B6+1</f>
        <v>2</v>
      </c>
      <c r="C7" s="258" t="s">
        <v>193</v>
      </c>
      <c r="D7" s="278" t="s">
        <v>137</v>
      </c>
      <c r="E7" s="303">
        <v>145</v>
      </c>
      <c r="F7" s="303">
        <f>bieuthu!D10</f>
        <v>540000</v>
      </c>
      <c r="G7" s="267">
        <f aca="true" t="shared" si="1" ref="G7:G23">F7*E7</f>
        <v>78300000</v>
      </c>
      <c r="H7" s="258"/>
      <c r="I7" s="367" t="s">
        <v>273</v>
      </c>
    </row>
    <row r="8" spans="2:8" ht="56.25">
      <c r="B8" s="257">
        <f t="shared" si="0"/>
        <v>3</v>
      </c>
      <c r="C8" s="259" t="s">
        <v>194</v>
      </c>
      <c r="D8" s="278" t="s">
        <v>137</v>
      </c>
      <c r="E8" s="303">
        <v>95</v>
      </c>
      <c r="F8" s="303">
        <f>bieuthu!D11</f>
        <v>700000</v>
      </c>
      <c r="G8" s="267">
        <f t="shared" si="1"/>
        <v>66500000</v>
      </c>
      <c r="H8" s="258"/>
    </row>
    <row r="9" spans="2:8" ht="56.25">
      <c r="B9" s="257">
        <f t="shared" si="0"/>
        <v>4</v>
      </c>
      <c r="C9" s="258" t="s">
        <v>255</v>
      </c>
      <c r="D9" s="278" t="s">
        <v>137</v>
      </c>
      <c r="E9" s="303">
        <v>150</v>
      </c>
      <c r="F9" s="303">
        <f>bieuthu!D12</f>
        <v>540000</v>
      </c>
      <c r="G9" s="267">
        <f t="shared" si="1"/>
        <v>81000000</v>
      </c>
      <c r="H9" s="258"/>
    </row>
    <row r="10" spans="2:8" ht="75">
      <c r="B10" s="257">
        <f t="shared" si="0"/>
        <v>5</v>
      </c>
      <c r="C10" s="258" t="s">
        <v>256</v>
      </c>
      <c r="D10" s="278" t="s">
        <v>137</v>
      </c>
      <c r="E10" s="303">
        <v>10</v>
      </c>
      <c r="F10" s="303">
        <f>bieuthu!D13</f>
        <v>700000</v>
      </c>
      <c r="G10" s="267">
        <f t="shared" si="1"/>
        <v>7000000</v>
      </c>
      <c r="H10" s="258"/>
    </row>
    <row r="11" spans="2:8" ht="112.5">
      <c r="B11" s="257">
        <f t="shared" si="0"/>
        <v>6</v>
      </c>
      <c r="C11" s="258" t="s">
        <v>257</v>
      </c>
      <c r="D11" s="278" t="s">
        <v>137</v>
      </c>
      <c r="E11" s="303">
        <v>5</v>
      </c>
      <c r="F11" s="303">
        <f>bieuthu!D14</f>
        <v>700000</v>
      </c>
      <c r="G11" s="267">
        <f t="shared" si="1"/>
        <v>3500000</v>
      </c>
      <c r="H11" s="258"/>
    </row>
    <row r="12" spans="2:8" ht="37.5">
      <c r="B12" s="257">
        <f t="shared" si="0"/>
        <v>7</v>
      </c>
      <c r="C12" s="258" t="s">
        <v>195</v>
      </c>
      <c r="D12" s="191" t="s">
        <v>137</v>
      </c>
      <c r="E12" s="303"/>
      <c r="F12" s="303"/>
      <c r="G12" s="267"/>
      <c r="H12" s="258"/>
    </row>
    <row r="13" spans="2:8" ht="56.25">
      <c r="B13" s="257" t="s">
        <v>50</v>
      </c>
      <c r="C13" s="259" t="s">
        <v>258</v>
      </c>
      <c r="D13" s="191" t="s">
        <v>137</v>
      </c>
      <c r="E13" s="303">
        <v>10</v>
      </c>
      <c r="F13" s="303">
        <f>bieuthu!D16</f>
        <v>550000</v>
      </c>
      <c r="G13" s="267">
        <f t="shared" si="1"/>
        <v>5500000</v>
      </c>
      <c r="H13" s="258"/>
    </row>
    <row r="14" spans="2:8" ht="56.25">
      <c r="B14" s="257" t="s">
        <v>53</v>
      </c>
      <c r="C14" s="259" t="s">
        <v>259</v>
      </c>
      <c r="D14" s="191" t="s">
        <v>137</v>
      </c>
      <c r="E14" s="303">
        <v>8</v>
      </c>
      <c r="F14" s="303">
        <f>bieuthu!D17</f>
        <v>540000</v>
      </c>
      <c r="G14" s="267">
        <f t="shared" si="1"/>
        <v>4320000</v>
      </c>
      <c r="H14" s="258"/>
    </row>
    <row r="15" spans="2:8" ht="75">
      <c r="B15" s="257" t="s">
        <v>54</v>
      </c>
      <c r="C15" s="259" t="s">
        <v>260</v>
      </c>
      <c r="D15" s="191" t="s">
        <v>137</v>
      </c>
      <c r="E15" s="303">
        <v>3</v>
      </c>
      <c r="F15" s="303">
        <f>bieuthu!D18</f>
        <v>700000</v>
      </c>
      <c r="G15" s="267">
        <f t="shared" si="1"/>
        <v>2100000</v>
      </c>
      <c r="H15" s="258"/>
    </row>
    <row r="16" spans="2:8" ht="56.25">
      <c r="B16" s="257">
        <v>8</v>
      </c>
      <c r="C16" s="258" t="s">
        <v>196</v>
      </c>
      <c r="D16" s="191" t="s">
        <v>137</v>
      </c>
      <c r="E16" s="303"/>
      <c r="F16" s="303"/>
      <c r="G16" s="267"/>
      <c r="H16" s="258"/>
    </row>
    <row r="17" spans="2:8" ht="75">
      <c r="B17" s="257" t="s">
        <v>50</v>
      </c>
      <c r="C17" s="259" t="s">
        <v>250</v>
      </c>
      <c r="D17" s="191" t="s">
        <v>137</v>
      </c>
      <c r="E17" s="303">
        <v>10</v>
      </c>
      <c r="F17" s="303">
        <f>bieuthu!D20</f>
        <v>490000</v>
      </c>
      <c r="G17" s="267">
        <f t="shared" si="1"/>
        <v>4900000</v>
      </c>
      <c r="H17" s="258"/>
    </row>
    <row r="18" spans="2:8" ht="75">
      <c r="B18" s="257" t="s">
        <v>53</v>
      </c>
      <c r="C18" s="259" t="s">
        <v>251</v>
      </c>
      <c r="D18" s="191" t="s">
        <v>137</v>
      </c>
      <c r="E18" s="303">
        <v>5</v>
      </c>
      <c r="F18" s="303">
        <f>bieuthu!D21</f>
        <v>480000</v>
      </c>
      <c r="G18" s="267">
        <f t="shared" si="1"/>
        <v>2400000</v>
      </c>
      <c r="H18" s="258"/>
    </row>
    <row r="19" spans="2:8" ht="112.5">
      <c r="B19" s="257" t="s">
        <v>54</v>
      </c>
      <c r="C19" s="259" t="s">
        <v>252</v>
      </c>
      <c r="D19" s="191" t="s">
        <v>137</v>
      </c>
      <c r="E19" s="303">
        <v>5</v>
      </c>
      <c r="F19" s="303">
        <f>bieuthu!D22</f>
        <v>640000</v>
      </c>
      <c r="G19" s="267">
        <f t="shared" si="1"/>
        <v>3200000</v>
      </c>
      <c r="H19" s="258"/>
    </row>
    <row r="20" spans="2:8" ht="56.25">
      <c r="B20" s="257">
        <v>9</v>
      </c>
      <c r="C20" s="258" t="s">
        <v>197</v>
      </c>
      <c r="D20" s="191" t="s">
        <v>137</v>
      </c>
      <c r="E20" s="303"/>
      <c r="F20" s="303"/>
      <c r="G20" s="267"/>
      <c r="H20" s="258"/>
    </row>
    <row r="21" spans="2:8" ht="37.5">
      <c r="B21" s="257" t="s">
        <v>50</v>
      </c>
      <c r="C21" s="259" t="s">
        <v>253</v>
      </c>
      <c r="D21" s="191" t="s">
        <v>137</v>
      </c>
      <c r="E21" s="303">
        <v>250</v>
      </c>
      <c r="F21" s="303">
        <f>bieuthu!D24</f>
        <v>550000</v>
      </c>
      <c r="G21" s="267">
        <f t="shared" si="1"/>
        <v>137500000</v>
      </c>
      <c r="H21" s="258"/>
    </row>
    <row r="22" spans="2:8" ht="27" customHeight="1">
      <c r="B22" s="257" t="s">
        <v>53</v>
      </c>
      <c r="C22" s="259" t="s">
        <v>254</v>
      </c>
      <c r="D22" s="191" t="s">
        <v>137</v>
      </c>
      <c r="E22" s="303">
        <v>185</v>
      </c>
      <c r="F22" s="303">
        <f>bieuthu!D25</f>
        <v>540000</v>
      </c>
      <c r="G22" s="267">
        <f t="shared" si="1"/>
        <v>99900000</v>
      </c>
      <c r="H22" s="258"/>
    </row>
    <row r="23" spans="2:8" ht="56.25">
      <c r="B23" s="257" t="s">
        <v>54</v>
      </c>
      <c r="C23" s="259" t="s">
        <v>197</v>
      </c>
      <c r="D23" s="191" t="s">
        <v>137</v>
      </c>
      <c r="E23" s="303">
        <v>50</v>
      </c>
      <c r="F23" s="303">
        <f>bieuthu!D26</f>
        <v>700000</v>
      </c>
      <c r="G23" s="267">
        <f t="shared" si="1"/>
        <v>35000000</v>
      </c>
      <c r="H23" s="258"/>
    </row>
    <row r="24" spans="2:8" ht="35.25" customHeight="1">
      <c r="B24" s="257">
        <v>10</v>
      </c>
      <c r="C24" s="258" t="s">
        <v>244</v>
      </c>
      <c r="D24" s="278" t="s">
        <v>245</v>
      </c>
      <c r="E24" s="303">
        <v>9800</v>
      </c>
      <c r="F24" s="303">
        <v>50000</v>
      </c>
      <c r="G24" s="267">
        <f>F24*E24</f>
        <v>490000000</v>
      </c>
      <c r="H24" s="258"/>
    </row>
    <row r="25" spans="2:10" ht="27.75" customHeight="1">
      <c r="B25" s="299" t="s">
        <v>214</v>
      </c>
      <c r="C25" s="270" t="s">
        <v>141</v>
      </c>
      <c r="D25" s="299"/>
      <c r="E25" s="300">
        <f>SUM(E26:E44)</f>
        <v>61689</v>
      </c>
      <c r="F25" s="270"/>
      <c r="G25" s="301">
        <f>SUM(G26:G44)</f>
        <v>16660940000</v>
      </c>
      <c r="H25" s="302"/>
      <c r="J25" s="368"/>
    </row>
    <row r="26" spans="2:8" ht="30" customHeight="1">
      <c r="B26" s="257">
        <v>1</v>
      </c>
      <c r="C26" s="258" t="s">
        <v>192</v>
      </c>
      <c r="D26" s="278" t="s">
        <v>137</v>
      </c>
      <c r="E26" s="373">
        <v>22350</v>
      </c>
      <c r="F26" s="303">
        <f>bieuthu!E9</f>
        <v>260000</v>
      </c>
      <c r="G26" s="267">
        <f>F26*E26</f>
        <v>5811000000</v>
      </c>
      <c r="H26" s="258"/>
    </row>
    <row r="27" spans="2:8" ht="30" customHeight="1">
      <c r="B27" s="257">
        <f aca="true" t="shared" si="2" ref="B27:B32">B26+1</f>
        <v>2</v>
      </c>
      <c r="C27" s="258" t="s">
        <v>193</v>
      </c>
      <c r="D27" s="278" t="s">
        <v>137</v>
      </c>
      <c r="E27" s="373">
        <v>4500</v>
      </c>
      <c r="F27" s="303">
        <f>bieuthu!E10</f>
        <v>310000</v>
      </c>
      <c r="G27" s="267">
        <f aca="true" t="shared" si="3" ref="G27:G44">F27*E27</f>
        <v>1395000000</v>
      </c>
      <c r="H27" s="258"/>
    </row>
    <row r="28" spans="2:8" ht="56.25">
      <c r="B28" s="257">
        <f t="shared" si="2"/>
        <v>3</v>
      </c>
      <c r="C28" s="259" t="s">
        <v>194</v>
      </c>
      <c r="D28" s="278" t="s">
        <v>137</v>
      </c>
      <c r="E28" s="373">
        <v>4200</v>
      </c>
      <c r="F28" s="303">
        <f>bieuthu!E11</f>
        <v>380000</v>
      </c>
      <c r="G28" s="267">
        <f t="shared" si="3"/>
        <v>1596000000</v>
      </c>
      <c r="H28" s="258"/>
    </row>
    <row r="29" spans="2:8" ht="56.25">
      <c r="B29" s="257">
        <f t="shared" si="2"/>
        <v>4</v>
      </c>
      <c r="C29" s="258" t="s">
        <v>255</v>
      </c>
      <c r="D29" s="278" t="s">
        <v>137</v>
      </c>
      <c r="E29" s="373">
        <v>200</v>
      </c>
      <c r="F29" s="303">
        <f>bieuthu!E12</f>
        <v>310000</v>
      </c>
      <c r="G29" s="267">
        <f t="shared" si="3"/>
        <v>62000000</v>
      </c>
      <c r="H29" s="258"/>
    </row>
    <row r="30" spans="2:8" ht="75">
      <c r="B30" s="257">
        <f t="shared" si="2"/>
        <v>5</v>
      </c>
      <c r="C30" s="258" t="s">
        <v>256</v>
      </c>
      <c r="D30" s="278" t="s">
        <v>137</v>
      </c>
      <c r="E30" s="303">
        <v>10</v>
      </c>
      <c r="F30" s="303">
        <f>bieuthu!E13</f>
        <v>380000</v>
      </c>
      <c r="G30" s="267">
        <f t="shared" si="3"/>
        <v>3800000</v>
      </c>
      <c r="H30" s="258"/>
    </row>
    <row r="31" spans="2:8" ht="112.5">
      <c r="B31" s="257">
        <f t="shared" si="2"/>
        <v>6</v>
      </c>
      <c r="C31" s="258" t="s">
        <v>257</v>
      </c>
      <c r="D31" s="278" t="s">
        <v>137</v>
      </c>
      <c r="E31" s="303">
        <v>1</v>
      </c>
      <c r="F31" s="303">
        <f>bieuthu!E14</f>
        <v>380000</v>
      </c>
      <c r="G31" s="267">
        <f t="shared" si="3"/>
        <v>380000</v>
      </c>
      <c r="H31" s="258"/>
    </row>
    <row r="32" spans="2:8" ht="37.5">
      <c r="B32" s="257">
        <f t="shared" si="2"/>
        <v>7</v>
      </c>
      <c r="C32" s="258" t="s">
        <v>195</v>
      </c>
      <c r="D32" s="191" t="s">
        <v>137</v>
      </c>
      <c r="E32" s="303"/>
      <c r="F32" s="303"/>
      <c r="G32" s="267"/>
      <c r="H32" s="258"/>
    </row>
    <row r="33" spans="2:8" ht="56.25">
      <c r="B33" s="257" t="s">
        <v>50</v>
      </c>
      <c r="C33" s="259" t="s">
        <v>258</v>
      </c>
      <c r="D33" s="191" t="s">
        <v>137</v>
      </c>
      <c r="E33" s="303">
        <v>10</v>
      </c>
      <c r="F33" s="303">
        <f>bieuthu!E16</f>
        <v>260000</v>
      </c>
      <c r="G33" s="267">
        <f t="shared" si="3"/>
        <v>2600000</v>
      </c>
      <c r="H33" s="258"/>
    </row>
    <row r="34" spans="2:8" ht="56.25">
      <c r="B34" s="257" t="s">
        <v>53</v>
      </c>
      <c r="C34" s="259" t="s">
        <v>259</v>
      </c>
      <c r="D34" s="191" t="s">
        <v>137</v>
      </c>
      <c r="E34" s="303">
        <v>5</v>
      </c>
      <c r="F34" s="303">
        <f>bieuthu!E17</f>
        <v>310000</v>
      </c>
      <c r="G34" s="267">
        <f t="shared" si="3"/>
        <v>1550000</v>
      </c>
      <c r="H34" s="258"/>
    </row>
    <row r="35" spans="2:8" ht="75">
      <c r="B35" s="257" t="s">
        <v>54</v>
      </c>
      <c r="C35" s="259" t="s">
        <v>260</v>
      </c>
      <c r="D35" s="191" t="s">
        <v>137</v>
      </c>
      <c r="E35" s="303">
        <v>10</v>
      </c>
      <c r="F35" s="303">
        <f>bieuthu!E18</f>
        <v>380000</v>
      </c>
      <c r="G35" s="267">
        <f t="shared" si="3"/>
        <v>3800000</v>
      </c>
      <c r="H35" s="258"/>
    </row>
    <row r="36" spans="2:8" ht="56.25">
      <c r="B36" s="257">
        <v>8</v>
      </c>
      <c r="C36" s="258" t="s">
        <v>196</v>
      </c>
      <c r="D36" s="191" t="s">
        <v>137</v>
      </c>
      <c r="E36" s="303"/>
      <c r="F36" s="303"/>
      <c r="G36" s="267">
        <f t="shared" si="3"/>
        <v>0</v>
      </c>
      <c r="H36" s="258"/>
    </row>
    <row r="37" spans="2:8" ht="75">
      <c r="B37" s="257" t="s">
        <v>50</v>
      </c>
      <c r="C37" s="259" t="s">
        <v>250</v>
      </c>
      <c r="D37" s="191" t="s">
        <v>137</v>
      </c>
      <c r="E37" s="303">
        <v>1</v>
      </c>
      <c r="F37" s="303">
        <f>bieuthu!E20</f>
        <v>220000</v>
      </c>
      <c r="G37" s="267">
        <f t="shared" si="3"/>
        <v>220000</v>
      </c>
      <c r="H37" s="258"/>
    </row>
    <row r="38" spans="2:8" ht="75">
      <c r="B38" s="257" t="s">
        <v>53</v>
      </c>
      <c r="C38" s="259" t="s">
        <v>251</v>
      </c>
      <c r="D38" s="191" t="s">
        <v>137</v>
      </c>
      <c r="E38" s="303">
        <v>1</v>
      </c>
      <c r="F38" s="303">
        <f>bieuthu!E21</f>
        <v>260000</v>
      </c>
      <c r="G38" s="267">
        <f t="shared" si="3"/>
        <v>260000</v>
      </c>
      <c r="H38" s="258"/>
    </row>
    <row r="39" spans="2:8" ht="112.5">
      <c r="B39" s="257" t="s">
        <v>54</v>
      </c>
      <c r="C39" s="259" t="s">
        <v>252</v>
      </c>
      <c r="D39" s="191" t="s">
        <v>137</v>
      </c>
      <c r="E39" s="303">
        <v>1</v>
      </c>
      <c r="F39" s="303">
        <f>bieuthu!E22</f>
        <v>330000</v>
      </c>
      <c r="G39" s="267">
        <f t="shared" si="3"/>
        <v>330000</v>
      </c>
      <c r="H39" s="258"/>
    </row>
    <row r="40" spans="2:8" ht="56.25">
      <c r="B40" s="257">
        <v>9</v>
      </c>
      <c r="C40" s="258" t="s">
        <v>197</v>
      </c>
      <c r="D40" s="191" t="s">
        <v>137</v>
      </c>
      <c r="E40" s="303"/>
      <c r="F40" s="303"/>
      <c r="G40" s="267"/>
      <c r="H40" s="258"/>
    </row>
    <row r="41" spans="2:8" ht="37.5">
      <c r="B41" s="257" t="s">
        <v>50</v>
      </c>
      <c r="C41" s="259" t="s">
        <v>253</v>
      </c>
      <c r="D41" s="191" t="s">
        <v>137</v>
      </c>
      <c r="E41" s="303">
        <v>21150</v>
      </c>
      <c r="F41" s="303">
        <f>bieuthu!E24</f>
        <v>260000</v>
      </c>
      <c r="G41" s="267">
        <f t="shared" si="3"/>
        <v>5499000000</v>
      </c>
      <c r="H41" s="258"/>
    </row>
    <row r="42" spans="2:8" ht="27.75" customHeight="1">
      <c r="B42" s="257" t="s">
        <v>53</v>
      </c>
      <c r="C42" s="259" t="s">
        <v>254</v>
      </c>
      <c r="D42" s="191" t="s">
        <v>137</v>
      </c>
      <c r="E42" s="303">
        <v>3000</v>
      </c>
      <c r="F42" s="303">
        <f>bieuthu!E25</f>
        <v>310000</v>
      </c>
      <c r="G42" s="267">
        <f t="shared" si="3"/>
        <v>930000000</v>
      </c>
      <c r="H42" s="258"/>
    </row>
    <row r="43" spans="2:8" ht="56.25">
      <c r="B43" s="257" t="s">
        <v>54</v>
      </c>
      <c r="C43" s="259" t="s">
        <v>197</v>
      </c>
      <c r="D43" s="191" t="s">
        <v>137</v>
      </c>
      <c r="E43" s="303">
        <v>3250</v>
      </c>
      <c r="F43" s="303">
        <f>bieuthu!E26</f>
        <v>380000</v>
      </c>
      <c r="G43" s="267">
        <f t="shared" si="3"/>
        <v>1235000000</v>
      </c>
      <c r="H43" s="258"/>
    </row>
    <row r="44" spans="2:8" ht="27.75" customHeight="1">
      <c r="B44" s="257">
        <v>10</v>
      </c>
      <c r="C44" s="258" t="s">
        <v>244</v>
      </c>
      <c r="D44" s="278" t="s">
        <v>245</v>
      </c>
      <c r="E44" s="303">
        <v>3000</v>
      </c>
      <c r="F44" s="303">
        <v>40000</v>
      </c>
      <c r="G44" s="267">
        <f t="shared" si="3"/>
        <v>120000000</v>
      </c>
      <c r="H44" s="258"/>
    </row>
    <row r="45" spans="2:10" ht="27.75" customHeight="1">
      <c r="B45" s="304" t="s">
        <v>128</v>
      </c>
      <c r="C45" s="305" t="s">
        <v>129</v>
      </c>
      <c r="D45" s="306"/>
      <c r="E45" s="257"/>
      <c r="F45" s="307"/>
      <c r="G45" s="301">
        <f>SUM(G46,G52)</f>
        <v>18294822302.072807</v>
      </c>
      <c r="H45" s="307"/>
      <c r="J45" s="369"/>
    </row>
    <row r="46" spans="2:8" ht="27.75" customHeight="1">
      <c r="B46" s="299" t="s">
        <v>136</v>
      </c>
      <c r="C46" s="305" t="s">
        <v>230</v>
      </c>
      <c r="D46" s="299"/>
      <c r="E46" s="299"/>
      <c r="F46" s="270"/>
      <c r="G46" s="301">
        <f>SUM(G47:G51)</f>
        <v>15686923062.072805</v>
      </c>
      <c r="H46" s="307"/>
    </row>
    <row r="47" spans="2:8" ht="27.75" customHeight="1">
      <c r="B47" s="257">
        <v>1</v>
      </c>
      <c r="C47" s="307" t="s">
        <v>239</v>
      </c>
      <c r="D47" s="308"/>
      <c r="E47" s="308"/>
      <c r="F47" s="309"/>
      <c r="G47" s="267">
        <f>'Du toan chi'!E7</f>
        <v>13969462116.79674</v>
      </c>
      <c r="H47" s="307"/>
    </row>
    <row r="48" spans="2:8" ht="27.75" customHeight="1">
      <c r="B48" s="257">
        <v>2</v>
      </c>
      <c r="C48" s="258" t="s">
        <v>240</v>
      </c>
      <c r="D48" s="257"/>
      <c r="E48" s="257"/>
      <c r="F48" s="303"/>
      <c r="G48" s="267">
        <f>'Du toan chi'!F7</f>
        <v>603958529.1057233</v>
      </c>
      <c r="H48" s="258"/>
    </row>
    <row r="49" spans="2:8" ht="27.75" customHeight="1">
      <c r="B49" s="257">
        <v>3</v>
      </c>
      <c r="C49" s="258" t="s">
        <v>241</v>
      </c>
      <c r="D49" s="257"/>
      <c r="E49" s="257"/>
      <c r="F49" s="303"/>
      <c r="G49" s="310">
        <f>'Du toan chi'!G7</f>
        <v>482903327.7859412</v>
      </c>
      <c r="H49" s="311"/>
    </row>
    <row r="50" spans="2:8" ht="27.75" customHeight="1">
      <c r="B50" s="257">
        <v>4</v>
      </c>
      <c r="C50" s="307" t="s">
        <v>243</v>
      </c>
      <c r="D50" s="257"/>
      <c r="E50" s="257"/>
      <c r="F50" s="303"/>
      <c r="G50" s="267">
        <f>'Du toan chi'!H7</f>
        <v>265826343.34988317</v>
      </c>
      <c r="H50" s="311"/>
    </row>
    <row r="51" spans="2:8" ht="27.75" customHeight="1">
      <c r="B51" s="257">
        <v>5</v>
      </c>
      <c r="C51" s="307" t="s">
        <v>242</v>
      </c>
      <c r="D51" s="257"/>
      <c r="E51" s="257"/>
      <c r="F51" s="303"/>
      <c r="G51" s="267">
        <f>'Du toan chi'!I7</f>
        <v>364772745.03451705</v>
      </c>
      <c r="H51" s="311"/>
    </row>
    <row r="52" spans="2:9" s="318" customFormat="1" ht="27.75" customHeight="1">
      <c r="B52" s="274" t="s">
        <v>214</v>
      </c>
      <c r="C52" s="313" t="s">
        <v>265</v>
      </c>
      <c r="D52" s="314"/>
      <c r="E52" s="315"/>
      <c r="F52" s="316"/>
      <c r="G52" s="276">
        <f>SUM(G53:G68)</f>
        <v>2607899240</v>
      </c>
      <c r="H52" s="276"/>
      <c r="I52" s="317"/>
    </row>
    <row r="53" spans="2:9" s="218" customFormat="1" ht="27.75" customHeight="1">
      <c r="B53" s="319">
        <v>1</v>
      </c>
      <c r="C53" s="320" t="s">
        <v>216</v>
      </c>
      <c r="D53" s="321">
        <v>12</v>
      </c>
      <c r="E53" s="322">
        <f>2.67*1800000</f>
        <v>4806000</v>
      </c>
      <c r="F53" s="316">
        <f>E53*D53</f>
        <v>57672000</v>
      </c>
      <c r="G53" s="323">
        <f>F53*12</f>
        <v>692064000</v>
      </c>
      <c r="H53" s="323"/>
      <c r="I53" s="324"/>
    </row>
    <row r="54" spans="2:9" s="218" customFormat="1" ht="27.75" customHeight="1">
      <c r="B54" s="319">
        <v>2</v>
      </c>
      <c r="C54" s="320" t="s">
        <v>217</v>
      </c>
      <c r="D54" s="321"/>
      <c r="E54" s="322"/>
      <c r="F54" s="316"/>
      <c r="G54" s="323">
        <f>G53*23.5%</f>
        <v>162635040</v>
      </c>
      <c r="H54" s="323"/>
      <c r="I54" s="324"/>
    </row>
    <row r="55" spans="2:9" s="218" customFormat="1" ht="27.75" customHeight="1">
      <c r="B55" s="319">
        <v>3</v>
      </c>
      <c r="C55" s="320" t="s">
        <v>176</v>
      </c>
      <c r="D55" s="321"/>
      <c r="E55" s="322"/>
      <c r="F55" s="316"/>
      <c r="G55" s="323">
        <f>G53*50%</f>
        <v>346032000</v>
      </c>
      <c r="H55" s="323"/>
      <c r="I55" s="324"/>
    </row>
    <row r="56" spans="2:9" s="218" customFormat="1" ht="27.75" customHeight="1">
      <c r="B56" s="319">
        <v>4</v>
      </c>
      <c r="C56" s="320" t="s">
        <v>238</v>
      </c>
      <c r="D56" s="321"/>
      <c r="E56" s="322"/>
      <c r="F56" s="316"/>
      <c r="G56" s="323">
        <f>F53</f>
        <v>57672000</v>
      </c>
      <c r="H56" s="323"/>
      <c r="I56" s="324"/>
    </row>
    <row r="57" spans="2:9" s="218" customFormat="1" ht="27.75" customHeight="1">
      <c r="B57" s="325">
        <v>5</v>
      </c>
      <c r="C57" s="326" t="s">
        <v>218</v>
      </c>
      <c r="D57" s="327">
        <v>47</v>
      </c>
      <c r="E57" s="322">
        <v>300000</v>
      </c>
      <c r="F57" s="316">
        <f>E57*D57</f>
        <v>14100000</v>
      </c>
      <c r="G57" s="323">
        <f>F57*4</f>
        <v>56400000</v>
      </c>
      <c r="H57" s="323"/>
      <c r="I57" s="324"/>
    </row>
    <row r="58" spans="2:9" s="218" customFormat="1" ht="27.75" customHeight="1">
      <c r="B58" s="325">
        <v>6</v>
      </c>
      <c r="C58" s="326" t="s">
        <v>249</v>
      </c>
      <c r="D58" s="327">
        <f>ROUND(E4/1700,-1)</f>
        <v>40</v>
      </c>
      <c r="E58" s="322">
        <v>5230000</v>
      </c>
      <c r="F58" s="316">
        <f>E58*D58</f>
        <v>209200000</v>
      </c>
      <c r="G58" s="323">
        <f>F58</f>
        <v>209200000</v>
      </c>
      <c r="H58" s="323"/>
      <c r="I58" s="324"/>
    </row>
    <row r="59" spans="2:9" s="218" customFormat="1" ht="27.75" customHeight="1">
      <c r="B59" s="319">
        <v>7</v>
      </c>
      <c r="C59" s="320" t="s">
        <v>219</v>
      </c>
      <c r="D59" s="321"/>
      <c r="E59" s="322"/>
      <c r="F59" s="328"/>
      <c r="G59" s="323"/>
      <c r="H59" s="323"/>
      <c r="I59" s="328"/>
    </row>
    <row r="60" spans="2:9" s="331" customFormat="1" ht="45" customHeight="1">
      <c r="B60" s="319" t="s">
        <v>207</v>
      </c>
      <c r="C60" s="329" t="s">
        <v>247</v>
      </c>
      <c r="D60" s="330">
        <f>D57*30%</f>
        <v>14.1</v>
      </c>
      <c r="E60" s="316">
        <v>500000</v>
      </c>
      <c r="F60" s="316">
        <f>E60*D60</f>
        <v>7050000</v>
      </c>
      <c r="G60" s="323">
        <f>4*F60</f>
        <v>28200000</v>
      </c>
      <c r="H60" s="323"/>
      <c r="I60" s="323"/>
    </row>
    <row r="61" spans="2:9" s="331" customFormat="1" ht="54">
      <c r="B61" s="319" t="s">
        <v>207</v>
      </c>
      <c r="C61" s="329" t="s">
        <v>248</v>
      </c>
      <c r="D61" s="330">
        <f>24*30%</f>
        <v>7.199999999999999</v>
      </c>
      <c r="E61" s="316">
        <v>800000</v>
      </c>
      <c r="F61" s="316">
        <f>E61*D61</f>
        <v>5759999.999999999</v>
      </c>
      <c r="G61" s="323">
        <f>4*F61</f>
        <v>23039999.999999996</v>
      </c>
      <c r="H61" s="323"/>
      <c r="I61" s="323"/>
    </row>
    <row r="62" spans="2:10" s="218" customFormat="1" ht="27.75" customHeight="1">
      <c r="B62" s="319">
        <v>8</v>
      </c>
      <c r="C62" s="320" t="s">
        <v>220</v>
      </c>
      <c r="D62" s="321"/>
      <c r="E62" s="322"/>
      <c r="F62" s="316"/>
      <c r="G62" s="323">
        <f>G4*2%</f>
        <v>356336200</v>
      </c>
      <c r="H62" s="323"/>
      <c r="I62" s="324"/>
      <c r="J62" s="279"/>
    </row>
    <row r="63" spans="2:9" s="218" customFormat="1" ht="27.75" customHeight="1">
      <c r="B63" s="325">
        <v>9</v>
      </c>
      <c r="C63" s="326" t="s">
        <v>221</v>
      </c>
      <c r="D63" s="325"/>
      <c r="E63" s="322"/>
      <c r="F63" s="324"/>
      <c r="G63" s="323"/>
      <c r="H63" s="323"/>
      <c r="I63" s="324"/>
    </row>
    <row r="64" spans="2:9" s="273" customFormat="1" ht="36">
      <c r="B64" s="332" t="s">
        <v>207</v>
      </c>
      <c r="C64" s="329" t="s">
        <v>222</v>
      </c>
      <c r="D64" s="327">
        <v>47</v>
      </c>
      <c r="E64" s="322">
        <v>200000</v>
      </c>
      <c r="F64" s="316">
        <f aca="true" t="shared" si="4" ref="F64:F69">E64*D64</f>
        <v>9400000</v>
      </c>
      <c r="G64" s="323">
        <f aca="true" t="shared" si="5" ref="G64:G69">12*F64</f>
        <v>112800000</v>
      </c>
      <c r="H64" s="323"/>
      <c r="I64" s="324"/>
    </row>
    <row r="65" spans="2:9" s="273" customFormat="1" ht="36">
      <c r="B65" s="332" t="s">
        <v>207</v>
      </c>
      <c r="C65" s="329" t="s">
        <v>223</v>
      </c>
      <c r="D65" s="327">
        <f>D64</f>
        <v>47</v>
      </c>
      <c r="E65" s="322">
        <v>200000</v>
      </c>
      <c r="F65" s="316">
        <f t="shared" si="4"/>
        <v>9400000</v>
      </c>
      <c r="G65" s="323">
        <f t="shared" si="5"/>
        <v>112800000</v>
      </c>
      <c r="H65" s="323"/>
      <c r="I65" s="324"/>
    </row>
    <row r="66" spans="2:10" s="273" customFormat="1" ht="36">
      <c r="B66" s="332" t="s">
        <v>207</v>
      </c>
      <c r="C66" s="329" t="s">
        <v>224</v>
      </c>
      <c r="D66" s="327">
        <v>12</v>
      </c>
      <c r="E66" s="322">
        <v>1000000</v>
      </c>
      <c r="F66" s="316">
        <f t="shared" si="4"/>
        <v>12000000</v>
      </c>
      <c r="G66" s="323">
        <f t="shared" si="5"/>
        <v>144000000</v>
      </c>
      <c r="H66" s="323"/>
      <c r="I66" s="324"/>
      <c r="J66" s="277"/>
    </row>
    <row r="67" spans="2:9" s="273" customFormat="1" ht="27.75" customHeight="1">
      <c r="B67" s="332" t="s">
        <v>207</v>
      </c>
      <c r="C67" s="326" t="s">
        <v>225</v>
      </c>
      <c r="D67" s="327">
        <v>12</v>
      </c>
      <c r="E67" s="322">
        <f>1100000*30%</f>
        <v>330000</v>
      </c>
      <c r="F67" s="316">
        <f t="shared" si="4"/>
        <v>3960000</v>
      </c>
      <c r="G67" s="323">
        <f t="shared" si="5"/>
        <v>47520000</v>
      </c>
      <c r="H67" s="323"/>
      <c r="I67" s="324"/>
    </row>
    <row r="68" spans="2:9" s="273" customFormat="1" ht="27.75" customHeight="1">
      <c r="B68" s="332" t="s">
        <v>207</v>
      </c>
      <c r="C68" s="326" t="s">
        <v>226</v>
      </c>
      <c r="D68" s="325">
        <v>12</v>
      </c>
      <c r="E68" s="322">
        <f>6000000*30%</f>
        <v>1800000</v>
      </c>
      <c r="F68" s="316">
        <f t="shared" si="4"/>
        <v>21600000</v>
      </c>
      <c r="G68" s="323">
        <f t="shared" si="5"/>
        <v>259200000</v>
      </c>
      <c r="H68" s="323"/>
      <c r="I68" s="328"/>
    </row>
    <row r="69" spans="2:9" s="273" customFormat="1" ht="27.75" customHeight="1">
      <c r="B69" s="332" t="s">
        <v>207</v>
      </c>
      <c r="C69" s="326" t="s">
        <v>117</v>
      </c>
      <c r="D69" s="325">
        <v>12</v>
      </c>
      <c r="E69" s="322">
        <v>2000000</v>
      </c>
      <c r="F69" s="316">
        <f t="shared" si="4"/>
        <v>24000000</v>
      </c>
      <c r="G69" s="323">
        <f t="shared" si="5"/>
        <v>288000000</v>
      </c>
      <c r="H69" s="323"/>
      <c r="I69" s="333"/>
    </row>
    <row r="70" spans="2:8" ht="27.75" customHeight="1">
      <c r="B70" s="299" t="s">
        <v>58</v>
      </c>
      <c r="C70" s="305" t="s">
        <v>59</v>
      </c>
      <c r="D70" s="257"/>
      <c r="E70" s="303"/>
      <c r="F70" s="303"/>
      <c r="G70" s="301">
        <f>G4-G45</f>
        <v>-478012302.0728073</v>
      </c>
      <c r="H70" s="311"/>
    </row>
    <row r="71" spans="2:8" ht="27.75" customHeight="1">
      <c r="B71" s="295" t="s">
        <v>60</v>
      </c>
      <c r="C71" s="296" t="s">
        <v>61</v>
      </c>
      <c r="D71" s="295"/>
      <c r="E71" s="295"/>
      <c r="F71" s="296"/>
      <c r="G71" s="297">
        <f>G45/G4</f>
        <v>1.0268292866159996</v>
      </c>
      <c r="H71" s="298"/>
    </row>
    <row r="72" ht="18">
      <c r="C72" s="146"/>
    </row>
  </sheetData>
  <sheetProtection/>
  <mergeCells count="2">
    <mergeCell ref="B1:C1"/>
    <mergeCell ref="B2:H2"/>
  </mergeCells>
  <printOptions horizontalCentered="1"/>
  <pageMargins left="0" right="0" top="0.55" bottom="0" header="0.3" footer="0.3"/>
  <pageSetup horizontalDpi="600" verticalDpi="600" orientation="landscape" scale="89" r:id="rId3"/>
  <headerFooter>
    <oddHeader>&amp;C&amp;P</oddHeader>
  </headerFooter>
  <rowBreaks count="1" manualBreakCount="1">
    <brk id="13" min="1" max="7" man="1"/>
  </rowBreaks>
  <colBreaks count="1" manualBreakCount="1">
    <brk id="8" max="65535" man="1"/>
  </colBreaks>
  <legacyDrawing r:id="rId2"/>
</worksheet>
</file>

<file path=xl/worksheets/sheet5.xml><?xml version="1.0" encoding="utf-8"?>
<worksheet xmlns="http://schemas.openxmlformats.org/spreadsheetml/2006/main" xmlns:r="http://schemas.openxmlformats.org/officeDocument/2006/relationships">
  <dimension ref="A1:I36"/>
  <sheetViews>
    <sheetView zoomScale="110" zoomScaleNormal="110" workbookViewId="0" topLeftCell="A1">
      <selection activeCell="B9" sqref="B9"/>
    </sheetView>
  </sheetViews>
  <sheetFormatPr defaultColWidth="8.88671875" defaultRowHeight="18.75"/>
  <cols>
    <col min="1" max="1" width="4.5546875" style="145" customWidth="1"/>
    <col min="2" max="2" width="36.99609375" style="124" customWidth="1"/>
    <col min="3" max="3" width="17.10546875" style="124" customWidth="1"/>
    <col min="4" max="4" width="11.21484375" style="145" customWidth="1"/>
    <col min="5" max="5" width="13.10546875" style="124" customWidth="1"/>
    <col min="6" max="6" width="15.88671875" style="145" customWidth="1"/>
    <col min="7" max="7" width="15.88671875" style="124" customWidth="1"/>
    <col min="8" max="8" width="7.3359375" style="124" bestFit="1" customWidth="1"/>
    <col min="9" max="9" width="11.6640625" style="124" bestFit="1" customWidth="1"/>
    <col min="10" max="16384" width="8.88671875" style="124" customWidth="1"/>
  </cols>
  <sheetData>
    <row r="1" spans="1:7" ht="27.75" customHeight="1">
      <c r="A1" s="405" t="s">
        <v>120</v>
      </c>
      <c r="B1" s="405"/>
      <c r="C1" s="120"/>
      <c r="D1" s="121"/>
      <c r="E1" s="122"/>
      <c r="F1" s="123"/>
      <c r="G1" s="122"/>
    </row>
    <row r="2" spans="1:7" ht="99" customHeight="1">
      <c r="A2" s="404" t="s">
        <v>135</v>
      </c>
      <c r="B2" s="404"/>
      <c r="C2" s="404"/>
      <c r="D2" s="404"/>
      <c r="E2" s="404"/>
      <c r="F2" s="404"/>
      <c r="G2" s="404"/>
    </row>
    <row r="3" spans="1:7" ht="37.5">
      <c r="A3" s="125" t="s">
        <v>121</v>
      </c>
      <c r="B3" s="125" t="s">
        <v>2</v>
      </c>
      <c r="C3" s="125" t="s">
        <v>122</v>
      </c>
      <c r="D3" s="125" t="s">
        <v>123</v>
      </c>
      <c r="E3" s="126" t="s">
        <v>124</v>
      </c>
      <c r="F3" s="125" t="s">
        <v>125</v>
      </c>
      <c r="G3" s="125" t="s">
        <v>1</v>
      </c>
    </row>
    <row r="4" spans="1:9" ht="22.5" customHeight="1">
      <c r="A4" s="125" t="s">
        <v>126</v>
      </c>
      <c r="B4" s="127" t="s">
        <v>127</v>
      </c>
      <c r="C4" s="125"/>
      <c r="D4" s="128">
        <f>SUM(D5,D8)</f>
        <v>66731</v>
      </c>
      <c r="E4" s="126"/>
      <c r="F4" s="128">
        <f>SUM(F5,F8)</f>
        <v>8398880000</v>
      </c>
      <c r="G4" s="129"/>
      <c r="I4" s="130"/>
    </row>
    <row r="5" spans="1:9" ht="22.5" customHeight="1">
      <c r="A5" s="125" t="s">
        <v>136</v>
      </c>
      <c r="B5" s="127" t="s">
        <v>138</v>
      </c>
      <c r="C5" s="125"/>
      <c r="D5" s="128">
        <f>D6+D7</f>
        <v>441</v>
      </c>
      <c r="E5" s="126"/>
      <c r="F5" s="128">
        <f>F6+F7</f>
        <v>140400000</v>
      </c>
      <c r="G5" s="129"/>
      <c r="I5" s="130"/>
    </row>
    <row r="6" spans="1:7" ht="73.5" customHeight="1">
      <c r="A6" s="131">
        <v>1</v>
      </c>
      <c r="B6" s="132" t="s">
        <v>140</v>
      </c>
      <c r="C6" s="147" t="s">
        <v>137</v>
      </c>
      <c r="D6" s="133">
        <f>'[3]TH kinh phi Ke hoach'!$D$7+'[3]TH kinh phi Ke hoach'!$D$8+'[3]TH kinh phi Ke hoach'!$D$10+'[3]TH kinh phi Ke hoach'!$D$12+'[3]TH kinh phi Ke hoach'!$D$13</f>
        <v>360</v>
      </c>
      <c r="E6" s="133">
        <v>300000</v>
      </c>
      <c r="F6" s="133">
        <f>E6*D6</f>
        <v>108000000</v>
      </c>
      <c r="G6" s="134"/>
    </row>
    <row r="7" spans="1:7" ht="51.75" customHeight="1">
      <c r="A7" s="131">
        <v>2</v>
      </c>
      <c r="B7" s="132" t="s">
        <v>139</v>
      </c>
      <c r="C7" s="147" t="s">
        <v>137</v>
      </c>
      <c r="D7" s="133">
        <f>'[3]TH kinh phi Ke hoach'!$D$9+'[3]TH kinh phi Ke hoach'!$D$14</f>
        <v>81</v>
      </c>
      <c r="E7" s="133">
        <v>400000</v>
      </c>
      <c r="F7" s="133">
        <f>E7*D7</f>
        <v>32400000</v>
      </c>
      <c r="G7" s="134"/>
    </row>
    <row r="8" spans="1:9" ht="22.5" customHeight="1">
      <c r="A8" s="125" t="s">
        <v>136</v>
      </c>
      <c r="B8" s="127" t="s">
        <v>141</v>
      </c>
      <c r="C8" s="125"/>
      <c r="D8" s="128">
        <f>D9+D10</f>
        <v>66290</v>
      </c>
      <c r="E8" s="126"/>
      <c r="F8" s="128">
        <f>F9+F10</f>
        <v>8258480000</v>
      </c>
      <c r="G8" s="129"/>
      <c r="I8" s="130"/>
    </row>
    <row r="9" spans="1:7" ht="131.25">
      <c r="A9" s="131">
        <v>1</v>
      </c>
      <c r="B9" s="132" t="s">
        <v>140</v>
      </c>
      <c r="C9" s="147" t="s">
        <v>137</v>
      </c>
      <c r="D9" s="133">
        <f>'[3]TH kinh phi Ke hoach'!$D$17+'[3]TH kinh phi Ke hoach'!$D$18+'[3]TH kinh phi Ke hoach'!$D$20+'[3]TH kinh phi Ke hoach'!$D$22+'[3]TH kinh phi Ke hoach'!$D$23</f>
        <v>62494</v>
      </c>
      <c r="E9" s="133">
        <v>120000</v>
      </c>
      <c r="F9" s="133">
        <f>E9*D9</f>
        <v>7499280000</v>
      </c>
      <c r="G9" s="134"/>
    </row>
    <row r="10" spans="1:7" ht="75">
      <c r="A10" s="131">
        <v>2</v>
      </c>
      <c r="B10" s="132" t="s">
        <v>139</v>
      </c>
      <c r="C10" s="147" t="s">
        <v>137</v>
      </c>
      <c r="D10" s="133">
        <f>'[3]TH kinh phi Ke hoach'!$D$24+'[3]TH kinh phi Ke hoach'!$D$19</f>
        <v>3796</v>
      </c>
      <c r="E10" s="133">
        <v>200000</v>
      </c>
      <c r="F10" s="133">
        <f>E10*D10</f>
        <v>759200000</v>
      </c>
      <c r="G10" s="134"/>
    </row>
    <row r="11" spans="1:9" ht="19.5" customHeight="1">
      <c r="A11" s="135" t="s">
        <v>128</v>
      </c>
      <c r="B11" s="136" t="s">
        <v>129</v>
      </c>
      <c r="C11" s="137"/>
      <c r="D11" s="131"/>
      <c r="E11" s="138"/>
      <c r="F11" s="128">
        <f>F12+F25+F26</f>
        <v>9502213826.185612</v>
      </c>
      <c r="G11" s="138"/>
      <c r="I11" s="139">
        <f>F4/F11</f>
        <v>0.8838866556396455</v>
      </c>
    </row>
    <row r="12" spans="1:7" ht="27.75" customHeight="1">
      <c r="A12" s="125">
        <v>1</v>
      </c>
      <c r="B12" s="136" t="s">
        <v>145</v>
      </c>
      <c r="C12" s="125"/>
      <c r="D12" s="125"/>
      <c r="E12" s="126"/>
      <c r="F12" s="128">
        <f>F13+F19+F23+F20+F21+F22+F24</f>
        <v>6664176902.923077</v>
      </c>
      <c r="G12" s="138"/>
    </row>
    <row r="13" spans="1:7" ht="27.75" customHeight="1">
      <c r="A13" s="131" t="s">
        <v>50</v>
      </c>
      <c r="B13" s="138" t="s">
        <v>51</v>
      </c>
      <c r="C13" s="140"/>
      <c r="D13" s="140"/>
      <c r="E13" s="141"/>
      <c r="F13" s="133">
        <f>SUM(F14:F17)</f>
        <v>4980853616.923077</v>
      </c>
      <c r="G13" s="138"/>
    </row>
    <row r="14" spans="1:7" ht="71.25" customHeight="1">
      <c r="A14" s="125" t="s">
        <v>10</v>
      </c>
      <c r="B14" s="134" t="s">
        <v>153</v>
      </c>
      <c r="C14" s="131" t="s">
        <v>130</v>
      </c>
      <c r="D14" s="131">
        <f>luongcb!A35</f>
        <v>30</v>
      </c>
      <c r="E14" s="133"/>
      <c r="F14" s="133">
        <f>luongcb2020!D53+luongcb2020!E53</f>
        <v>2705727600</v>
      </c>
      <c r="G14" s="134"/>
    </row>
    <row r="15" spans="1:7" ht="45.75" customHeight="1">
      <c r="A15" s="125" t="s">
        <v>10</v>
      </c>
      <c r="B15" s="138" t="s">
        <v>154</v>
      </c>
      <c r="C15" s="131" t="s">
        <v>130</v>
      </c>
      <c r="D15" s="131">
        <f>D14</f>
        <v>30</v>
      </c>
      <c r="E15" s="133"/>
      <c r="F15" s="149">
        <f>F14*50%</f>
        <v>1352863800</v>
      </c>
      <c r="G15" s="142"/>
    </row>
    <row r="16" spans="1:7" ht="45.75" customHeight="1">
      <c r="A16" s="125" t="s">
        <v>10</v>
      </c>
      <c r="B16" s="134" t="s">
        <v>155</v>
      </c>
      <c r="C16" s="131" t="s">
        <v>130</v>
      </c>
      <c r="D16" s="133"/>
      <c r="E16" s="133"/>
      <c r="F16" s="149">
        <f>(luongcb2020!D53+luongcb2020!E53)*15%</f>
        <v>405859140</v>
      </c>
      <c r="G16" s="142"/>
    </row>
    <row r="17" spans="1:7" ht="45.75" customHeight="1">
      <c r="A17" s="125" t="s">
        <v>10</v>
      </c>
      <c r="B17" s="138" t="s">
        <v>142</v>
      </c>
      <c r="C17" s="131" t="s">
        <v>143</v>
      </c>
      <c r="D17" s="131">
        <v>30</v>
      </c>
      <c r="E17" s="133"/>
      <c r="F17" s="133">
        <f>(luongcb!C53*luongcb!G4/26/8*200*200%)+((luongcb!C53*luongcb!G4/26/8*200*200%)*15%)</f>
        <v>516403076.923077</v>
      </c>
      <c r="G17" s="142"/>
    </row>
    <row r="18" spans="1:7" ht="37.5" customHeight="1">
      <c r="A18" s="125" t="s">
        <v>10</v>
      </c>
      <c r="B18" s="134" t="s">
        <v>52</v>
      </c>
      <c r="C18" s="131" t="s">
        <v>131</v>
      </c>
      <c r="D18" s="131"/>
      <c r="E18" s="133"/>
      <c r="F18" s="133">
        <f>((F14+F15+F17))/12/30</f>
        <v>12708317.99145299</v>
      </c>
      <c r="G18" s="142"/>
    </row>
    <row r="19" spans="1:7" ht="37.5" customHeight="1">
      <c r="A19" s="131" t="s">
        <v>53</v>
      </c>
      <c r="B19" s="138" t="s">
        <v>144</v>
      </c>
      <c r="C19" s="140"/>
      <c r="D19" s="140"/>
      <c r="E19" s="143"/>
      <c r="F19" s="133">
        <f>F14*23.5%</f>
        <v>635845986</v>
      </c>
      <c r="G19" s="142"/>
    </row>
    <row r="20" spans="1:7" ht="37.5" customHeight="1">
      <c r="A20" s="131" t="s">
        <v>54</v>
      </c>
      <c r="B20" s="49" t="s">
        <v>64</v>
      </c>
      <c r="C20" s="140"/>
      <c r="D20" s="140"/>
      <c r="E20" s="143"/>
      <c r="F20" s="54">
        <f>(5000000+1500000+300000)*30</f>
        <v>204000000</v>
      </c>
      <c r="G20" s="142"/>
    </row>
    <row r="21" spans="1:7" ht="37.5" customHeight="1">
      <c r="A21" s="131" t="s">
        <v>55</v>
      </c>
      <c r="B21" s="49" t="s">
        <v>110</v>
      </c>
      <c r="C21" s="140"/>
      <c r="D21" s="140"/>
      <c r="E21" s="143"/>
      <c r="F21" s="54">
        <f>(300000+300000)*30*12</f>
        <v>216000000</v>
      </c>
      <c r="G21" s="142"/>
    </row>
    <row r="22" spans="1:7" ht="37.5" customHeight="1">
      <c r="A22" s="131" t="s">
        <v>109</v>
      </c>
      <c r="B22" s="138" t="s">
        <v>147</v>
      </c>
      <c r="C22" s="131" t="s">
        <v>130</v>
      </c>
      <c r="D22" s="140"/>
      <c r="E22" s="143"/>
      <c r="F22" s="133">
        <f>700000*30*12</f>
        <v>252000000</v>
      </c>
      <c r="G22" s="142"/>
    </row>
    <row r="23" spans="1:7" ht="44.25" customHeight="1">
      <c r="A23" s="131" t="s">
        <v>146</v>
      </c>
      <c r="B23" s="134" t="s">
        <v>132</v>
      </c>
      <c r="C23" s="140"/>
      <c r="D23" s="131">
        <f>'[2]PL1-Captinh'!D17+'[2]PL1-Caphuyen'!D17</f>
        <v>24</v>
      </c>
      <c r="E23" s="133">
        <f>E14</f>
        <v>0</v>
      </c>
      <c r="F23" s="133">
        <f>F14/12</f>
        <v>225477300</v>
      </c>
      <c r="G23" s="142"/>
    </row>
    <row r="24" spans="1:7" ht="44.25" customHeight="1">
      <c r="A24" s="131" t="s">
        <v>148</v>
      </c>
      <c r="B24" s="132" t="s">
        <v>149</v>
      </c>
      <c r="C24" s="140"/>
      <c r="D24" s="131"/>
      <c r="E24" s="133"/>
      <c r="F24" s="133">
        <f>5000000*30</f>
        <v>150000000</v>
      </c>
      <c r="G24" s="142"/>
    </row>
    <row r="25" spans="1:7" ht="62.25" customHeight="1">
      <c r="A25" s="125">
        <v>2</v>
      </c>
      <c r="B25" s="136" t="s">
        <v>152</v>
      </c>
      <c r="C25" s="125"/>
      <c r="D25" s="128">
        <f>D4</f>
        <v>66731</v>
      </c>
      <c r="E25" s="133">
        <f>'[3]DONGIACHITIET'!$M$9+'[3]DONGIACHITIET'!$N$9+'[3]DONGIACHITIET'!$O$9+'[3]DONGIACHITIET'!$P$9</f>
        <v>26741.25254023669</v>
      </c>
      <c r="F25" s="128">
        <f>E25*D25</f>
        <v>1784470523.2625344</v>
      </c>
      <c r="G25" s="148" t="s">
        <v>150</v>
      </c>
    </row>
    <row r="26" spans="1:7" s="154" customFormat="1" ht="37.5" customHeight="1">
      <c r="A26" s="150" t="s">
        <v>151</v>
      </c>
      <c r="B26" s="151" t="s">
        <v>57</v>
      </c>
      <c r="C26" s="152"/>
      <c r="D26" s="153"/>
      <c r="E26" s="153"/>
      <c r="F26" s="63">
        <f>SUM(F27:F33)</f>
        <v>1053566400</v>
      </c>
      <c r="G26" s="406"/>
    </row>
    <row r="27" spans="1:7" s="154" customFormat="1" ht="37.5" customHeight="1">
      <c r="A27" s="155" t="s">
        <v>10</v>
      </c>
      <c r="B27" s="156" t="s">
        <v>112</v>
      </c>
      <c r="C27" s="152"/>
      <c r="D27" s="153"/>
      <c r="E27" s="153"/>
      <c r="F27" s="157">
        <f>F4*3%</f>
        <v>251966400</v>
      </c>
      <c r="G27" s="407"/>
    </row>
    <row r="28" spans="1:7" s="154" customFormat="1" ht="37.5" customHeight="1">
      <c r="A28" s="155" t="s">
        <v>10</v>
      </c>
      <c r="B28" s="156" t="s">
        <v>113</v>
      </c>
      <c r="C28" s="152"/>
      <c r="D28" s="153"/>
      <c r="E28" s="153"/>
      <c r="F28" s="157">
        <f>1100000*12*12*25%</f>
        <v>39600000</v>
      </c>
      <c r="G28" s="408" t="s">
        <v>134</v>
      </c>
    </row>
    <row r="29" spans="1:7" s="154" customFormat="1" ht="24" customHeight="1">
      <c r="A29" s="155" t="s">
        <v>10</v>
      </c>
      <c r="B29" s="156" t="s">
        <v>9</v>
      </c>
      <c r="C29" s="158"/>
      <c r="D29" s="153"/>
      <c r="E29" s="153"/>
      <c r="F29" s="157">
        <f>4800000*12*12*25%</f>
        <v>172800000</v>
      </c>
      <c r="G29" s="408"/>
    </row>
    <row r="30" spans="1:7" s="154" customFormat="1" ht="24" customHeight="1">
      <c r="A30" s="155" t="s">
        <v>10</v>
      </c>
      <c r="B30" s="156" t="s">
        <v>157</v>
      </c>
      <c r="C30" s="158"/>
      <c r="D30" s="153"/>
      <c r="E30" s="153"/>
      <c r="F30" s="157">
        <f>30000*12*12*30*2</f>
        <v>259200000</v>
      </c>
      <c r="G30" s="408"/>
    </row>
    <row r="31" spans="1:7" s="154" customFormat="1" ht="24" customHeight="1">
      <c r="A31" s="155" t="s">
        <v>10</v>
      </c>
      <c r="B31" s="156" t="s">
        <v>114</v>
      </c>
      <c r="C31" s="158"/>
      <c r="D31" s="153"/>
      <c r="E31" s="153"/>
      <c r="F31" s="157">
        <f>(500000*4*30)+(30*150000*12)</f>
        <v>114000000</v>
      </c>
      <c r="G31" s="408"/>
    </row>
    <row r="32" spans="1:7" s="154" customFormat="1" ht="24" customHeight="1">
      <c r="A32" s="155" t="s">
        <v>10</v>
      </c>
      <c r="B32" s="156" t="s">
        <v>133</v>
      </c>
      <c r="C32" s="158" t="s">
        <v>130</v>
      </c>
      <c r="D32" s="153">
        <v>12</v>
      </c>
      <c r="E32" s="153">
        <v>500000</v>
      </c>
      <c r="F32" s="157">
        <f>E32*D32*12</f>
        <v>72000000</v>
      </c>
      <c r="G32" s="408"/>
    </row>
    <row r="33" spans="1:7" s="154" customFormat="1" ht="24" customHeight="1">
      <c r="A33" s="155" t="s">
        <v>10</v>
      </c>
      <c r="B33" s="156" t="s">
        <v>117</v>
      </c>
      <c r="C33" s="158" t="s">
        <v>130</v>
      </c>
      <c r="D33" s="153">
        <v>12</v>
      </c>
      <c r="E33" s="153">
        <v>1000000</v>
      </c>
      <c r="F33" s="157">
        <f>E33*D33*12</f>
        <v>144000000</v>
      </c>
      <c r="G33" s="159"/>
    </row>
    <row r="34" spans="1:7" ht="27.75" customHeight="1">
      <c r="A34" s="125" t="s">
        <v>58</v>
      </c>
      <c r="B34" s="136" t="s">
        <v>59</v>
      </c>
      <c r="C34" s="131"/>
      <c r="D34" s="133"/>
      <c r="E34" s="133"/>
      <c r="F34" s="128">
        <f>F11-F4</f>
        <v>1103333826.1856117</v>
      </c>
      <c r="G34" s="142"/>
    </row>
    <row r="35" spans="1:7" ht="30" customHeight="1">
      <c r="A35" s="135" t="s">
        <v>60</v>
      </c>
      <c r="B35" s="136" t="s">
        <v>61</v>
      </c>
      <c r="C35" s="135"/>
      <c r="D35" s="135"/>
      <c r="E35" s="136"/>
      <c r="F35" s="144">
        <f>F11/F4</f>
        <v>1.1313667805928422</v>
      </c>
      <c r="G35" s="138"/>
    </row>
    <row r="36" ht="17.25">
      <c r="B36" s="146"/>
    </row>
  </sheetData>
  <sheetProtection/>
  <mergeCells count="4">
    <mergeCell ref="A1:B1"/>
    <mergeCell ref="A2:G2"/>
    <mergeCell ref="G26:G27"/>
    <mergeCell ref="G28:G32"/>
  </mergeCells>
  <printOptions horizontalCentered="1"/>
  <pageMargins left="0" right="0" top="0.55" bottom="0.5" header="0.3" footer="0.3"/>
  <pageSetup horizontalDpi="600" verticalDpi="600" orientation="landscape" scale="90" r:id="rId3"/>
  <headerFooter>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P11"/>
  <sheetViews>
    <sheetView zoomScalePageLayoutView="0" workbookViewId="0" topLeftCell="A1">
      <selection activeCell="I5" sqref="I5"/>
    </sheetView>
  </sheetViews>
  <sheetFormatPr defaultColWidth="8.88671875" defaultRowHeight="18.75"/>
  <cols>
    <col min="1" max="1" width="6.3359375" style="73" customWidth="1"/>
    <col min="2" max="2" width="8.5546875" style="73" customWidth="1"/>
    <col min="3" max="3" width="11.88671875" style="73" customWidth="1"/>
    <col min="4" max="4" width="12.4453125" style="73" customWidth="1"/>
    <col min="5" max="5" width="12.10546875" style="74" bestFit="1" customWidth="1"/>
    <col min="6" max="6" width="11.99609375" style="74" customWidth="1"/>
    <col min="7" max="7" width="12.99609375" style="74" customWidth="1"/>
    <col min="8" max="11" width="11.99609375" style="74" customWidth="1"/>
    <col min="12" max="12" width="13.10546875" style="73" bestFit="1" customWidth="1"/>
    <col min="13" max="13" width="13.10546875" style="73" customWidth="1"/>
    <col min="14" max="14" width="13.4453125" style="73" customWidth="1"/>
    <col min="15" max="15" width="8.88671875" style="73" customWidth="1"/>
    <col min="16" max="16" width="8.99609375" style="73" bestFit="1" customWidth="1"/>
    <col min="17" max="16384" width="8.88671875" style="73" customWidth="1"/>
  </cols>
  <sheetData>
    <row r="1" ht="48.75" customHeight="1">
      <c r="A1" s="72" t="s">
        <v>71</v>
      </c>
    </row>
    <row r="2" spans="1:14" ht="78" customHeight="1">
      <c r="A2" s="411" t="s">
        <v>79</v>
      </c>
      <c r="B2" s="411"/>
      <c r="C2" s="411"/>
      <c r="D2" s="411"/>
      <c r="E2" s="411"/>
      <c r="F2" s="411"/>
      <c r="G2" s="411"/>
      <c r="H2" s="411"/>
      <c r="I2" s="411"/>
      <c r="J2" s="411"/>
      <c r="K2" s="411"/>
      <c r="L2" s="411"/>
      <c r="M2" s="411"/>
      <c r="N2" s="411"/>
    </row>
    <row r="3" spans="1:14" ht="65.25" customHeight="1">
      <c r="A3" s="410" t="s">
        <v>72</v>
      </c>
      <c r="B3" s="410"/>
      <c r="C3" s="412" t="s">
        <v>73</v>
      </c>
      <c r="D3" s="410"/>
      <c r="E3" s="410"/>
      <c r="F3" s="410" t="s">
        <v>69</v>
      </c>
      <c r="G3" s="410"/>
      <c r="H3" s="410"/>
      <c r="I3" s="410" t="s">
        <v>70</v>
      </c>
      <c r="J3" s="410"/>
      <c r="K3" s="410"/>
      <c r="L3" s="410" t="s">
        <v>74</v>
      </c>
      <c r="M3" s="410"/>
      <c r="N3" s="410"/>
    </row>
    <row r="4" spans="1:14" ht="50.25" customHeight="1">
      <c r="A4" s="410"/>
      <c r="B4" s="410"/>
      <c r="C4" s="75" t="s">
        <v>75</v>
      </c>
      <c r="D4" s="76" t="s">
        <v>76</v>
      </c>
      <c r="E4" s="77" t="s">
        <v>77</v>
      </c>
      <c r="F4" s="75" t="s">
        <v>75</v>
      </c>
      <c r="G4" s="76" t="s">
        <v>76</v>
      </c>
      <c r="H4" s="76" t="s">
        <v>77</v>
      </c>
      <c r="I4" s="75" t="s">
        <v>75</v>
      </c>
      <c r="J4" s="76" t="s">
        <v>76</v>
      </c>
      <c r="K4" s="76" t="s">
        <v>77</v>
      </c>
      <c r="L4" s="75" t="s">
        <v>75</v>
      </c>
      <c r="M4" s="76" t="s">
        <v>76</v>
      </c>
      <c r="N4" s="76" t="s">
        <v>77</v>
      </c>
    </row>
    <row r="5" spans="1:16" ht="13.5">
      <c r="A5" s="409" t="s">
        <v>78</v>
      </c>
      <c r="B5" s="409"/>
      <c r="C5" s="78">
        <v>3638013000</v>
      </c>
      <c r="D5" s="79">
        <v>0</v>
      </c>
      <c r="E5" s="80">
        <f>C5-D5</f>
        <v>3638013000</v>
      </c>
      <c r="F5" s="81">
        <v>4920603000</v>
      </c>
      <c r="G5" s="82"/>
      <c r="H5" s="81">
        <f>F5-G5</f>
        <v>4920603000</v>
      </c>
      <c r="I5" s="81">
        <v>5015596000</v>
      </c>
      <c r="J5" s="81">
        <v>0</v>
      </c>
      <c r="K5" s="81">
        <f>I5-J5</f>
        <v>5015596000</v>
      </c>
      <c r="L5" s="81">
        <f>F5+C5+I5</f>
        <v>13574212000</v>
      </c>
      <c r="M5" s="81">
        <f>G5+D5+J5</f>
        <v>0</v>
      </c>
      <c r="N5" s="81">
        <f>H5+E5+K5</f>
        <v>13574212000</v>
      </c>
      <c r="P5" s="83">
        <f>H5/12</f>
        <v>410050250</v>
      </c>
    </row>
    <row r="6" spans="1:16" ht="13.5">
      <c r="A6" s="409" t="s">
        <v>80</v>
      </c>
      <c r="B6" s="409"/>
      <c r="C6" s="84">
        <v>906520000</v>
      </c>
      <c r="D6" s="85">
        <f>C6*30%</f>
        <v>271956000</v>
      </c>
      <c r="E6" s="80">
        <f>C6-D6</f>
        <v>634564000</v>
      </c>
      <c r="F6" s="86"/>
      <c r="G6" s="86"/>
      <c r="H6" s="87"/>
      <c r="I6" s="88"/>
      <c r="J6" s="88"/>
      <c r="K6" s="88"/>
      <c r="L6" s="89">
        <f>F6+C6</f>
        <v>906520000</v>
      </c>
      <c r="M6" s="89">
        <f>G6+D6</f>
        <v>271956000</v>
      </c>
      <c r="N6" s="89">
        <f>H6+E6</f>
        <v>634564000</v>
      </c>
      <c r="P6" s="83">
        <f>H6/12</f>
        <v>0</v>
      </c>
    </row>
    <row r="7" spans="1:14" ht="27" customHeight="1">
      <c r="A7" s="410" t="s">
        <v>6</v>
      </c>
      <c r="B7" s="410"/>
      <c r="C7" s="90">
        <f>SUM(C5:C6)</f>
        <v>4544533000</v>
      </c>
      <c r="D7" s="90">
        <f aca="true" t="shared" si="0" ref="D7:N7">SUM(D5:D6)</f>
        <v>271956000</v>
      </c>
      <c r="E7" s="90">
        <f t="shared" si="0"/>
        <v>4272577000</v>
      </c>
      <c r="F7" s="90">
        <f t="shared" si="0"/>
        <v>4920603000</v>
      </c>
      <c r="G7" s="90">
        <f t="shared" si="0"/>
        <v>0</v>
      </c>
      <c r="H7" s="90">
        <f t="shared" si="0"/>
        <v>4920603000</v>
      </c>
      <c r="I7" s="90">
        <f t="shared" si="0"/>
        <v>5015596000</v>
      </c>
      <c r="J7" s="90">
        <f t="shared" si="0"/>
        <v>0</v>
      </c>
      <c r="K7" s="90">
        <f t="shared" si="0"/>
        <v>5015596000</v>
      </c>
      <c r="L7" s="90">
        <f t="shared" si="0"/>
        <v>14480732000</v>
      </c>
      <c r="M7" s="90">
        <f t="shared" si="0"/>
        <v>271956000</v>
      </c>
      <c r="N7" s="90">
        <f t="shared" si="0"/>
        <v>14208776000</v>
      </c>
    </row>
    <row r="10" ht="13.5">
      <c r="D10" s="83"/>
    </row>
    <row r="11" ht="13.5">
      <c r="D11" s="83"/>
    </row>
  </sheetData>
  <sheetProtection/>
  <mergeCells count="9">
    <mergeCell ref="A5:B5"/>
    <mergeCell ref="A6:B6"/>
    <mergeCell ref="A7:B7"/>
    <mergeCell ref="A2:N2"/>
    <mergeCell ref="A3:B4"/>
    <mergeCell ref="C3:E3"/>
    <mergeCell ref="F3:H3"/>
    <mergeCell ref="I3:K3"/>
    <mergeCell ref="L3:N3"/>
  </mergeCells>
  <printOptions/>
  <pageMargins left="0" right="0" top="0.25" bottom="0.25" header="0.3" footer="0.3"/>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J37"/>
  <sheetViews>
    <sheetView zoomScalePageLayoutView="0" workbookViewId="0" topLeftCell="A22">
      <selection activeCell="A37" sqref="A37:IV37"/>
    </sheetView>
  </sheetViews>
  <sheetFormatPr defaultColWidth="8.88671875" defaultRowHeight="18.75"/>
  <cols>
    <col min="1" max="1" width="5.21484375" style="71" customWidth="1"/>
    <col min="2" max="2" width="42.21484375" style="5" customWidth="1"/>
    <col min="3" max="3" width="8.88671875" style="5" customWidth="1"/>
    <col min="4" max="4" width="16.6640625" style="6" customWidth="1"/>
    <col min="5" max="5" width="17.4453125" style="6" customWidth="1"/>
    <col min="6" max="6" width="18.21484375" style="6" customWidth="1"/>
    <col min="7" max="7" width="24.99609375" style="6" bestFit="1" customWidth="1"/>
    <col min="8" max="8" width="12.88671875" style="7" customWidth="1"/>
    <col min="9" max="9" width="14.21484375" style="5" customWidth="1"/>
    <col min="10" max="10" width="12.6640625" style="5" bestFit="1" customWidth="1"/>
    <col min="11" max="16384" width="8.88671875" style="5" customWidth="1"/>
  </cols>
  <sheetData>
    <row r="1" spans="1:7" ht="30.75" customHeight="1">
      <c r="A1" s="65" t="s">
        <v>3</v>
      </c>
      <c r="B1" s="3"/>
      <c r="C1" s="3"/>
      <c r="D1" s="4"/>
      <c r="E1" s="4"/>
      <c r="F1" s="4"/>
      <c r="G1" s="4"/>
    </row>
    <row r="2" spans="1:8" ht="42.75" customHeight="1">
      <c r="A2" s="413" t="s">
        <v>13</v>
      </c>
      <c r="B2" s="413"/>
      <c r="C2" s="413"/>
      <c r="D2" s="413"/>
      <c r="E2" s="413"/>
      <c r="F2" s="413"/>
      <c r="G2" s="413"/>
      <c r="H2" s="413"/>
    </row>
    <row r="3" spans="1:8" ht="32.25" customHeight="1">
      <c r="A3" s="414" t="s">
        <v>66</v>
      </c>
      <c r="B3" s="414"/>
      <c r="C3" s="414"/>
      <c r="D3" s="414"/>
      <c r="E3" s="414"/>
      <c r="F3" s="414"/>
      <c r="G3" s="414"/>
      <c r="H3" s="414"/>
    </row>
    <row r="4" spans="1:8" ht="36.75" customHeight="1">
      <c r="A4" s="415" t="s">
        <v>0</v>
      </c>
      <c r="B4" s="417" t="s">
        <v>2</v>
      </c>
      <c r="C4" s="417" t="s">
        <v>4</v>
      </c>
      <c r="D4" s="419" t="s">
        <v>67</v>
      </c>
      <c r="E4" s="420"/>
      <c r="F4" s="420"/>
      <c r="G4" s="421"/>
      <c r="H4" s="422" t="s">
        <v>1</v>
      </c>
    </row>
    <row r="5" spans="1:8" ht="58.5" customHeight="1">
      <c r="A5" s="416"/>
      <c r="B5" s="418"/>
      <c r="C5" s="418"/>
      <c r="D5" s="1" t="s">
        <v>68</v>
      </c>
      <c r="E5" s="1" t="s">
        <v>69</v>
      </c>
      <c r="F5" s="1" t="s">
        <v>70</v>
      </c>
      <c r="G5" s="2" t="s">
        <v>6</v>
      </c>
      <c r="H5" s="423"/>
    </row>
    <row r="6" spans="1:8" ht="24.75" customHeight="1">
      <c r="A6" s="66">
        <v>1</v>
      </c>
      <c r="B6" s="55" t="s">
        <v>7</v>
      </c>
      <c r="C6" s="50" t="s">
        <v>5</v>
      </c>
      <c r="D6" s="92">
        <f>SUM(D7:D8)</f>
        <v>6398115200</v>
      </c>
      <c r="E6" s="92">
        <f>SUM(E7:E8)</f>
        <v>6858501240</v>
      </c>
      <c r="F6" s="92">
        <f>SUM(F7:F8)</f>
        <v>7137206392</v>
      </c>
      <c r="G6" s="93">
        <f aca="true" t="shared" si="0" ref="G6:G11">SUM(D6:F6)</f>
        <v>20393822832</v>
      </c>
      <c r="H6" s="56"/>
    </row>
    <row r="7" spans="1:8" ht="24.75" customHeight="1">
      <c r="A7" s="67" t="s">
        <v>10</v>
      </c>
      <c r="B7" s="57" t="s">
        <v>106</v>
      </c>
      <c r="C7" s="53" t="s">
        <v>5</v>
      </c>
      <c r="D7" s="94">
        <f>GDBD!C5+GDBD!C6</f>
        <v>4544533000</v>
      </c>
      <c r="E7" s="94">
        <f>GDBD!F5</f>
        <v>4920603000</v>
      </c>
      <c r="F7" s="94">
        <f>GDBD!I5</f>
        <v>5015596000</v>
      </c>
      <c r="G7" s="93">
        <f t="shared" si="0"/>
        <v>14480732000</v>
      </c>
      <c r="H7" s="52"/>
    </row>
    <row r="8" spans="1:8" ht="54" customHeight="1">
      <c r="A8" s="67" t="s">
        <v>10</v>
      </c>
      <c r="B8" s="59" t="s">
        <v>11</v>
      </c>
      <c r="C8" s="53" t="s">
        <v>5</v>
      </c>
      <c r="D8" s="60">
        <v>1853582200</v>
      </c>
      <c r="E8" s="60">
        <v>1937898240</v>
      </c>
      <c r="F8" s="60">
        <v>2121610392</v>
      </c>
      <c r="G8" s="47">
        <f t="shared" si="0"/>
        <v>5913090832</v>
      </c>
      <c r="H8" s="52"/>
    </row>
    <row r="9" spans="1:8" ht="53.25" customHeight="1">
      <c r="A9" s="68">
        <v>2</v>
      </c>
      <c r="B9" s="59" t="s">
        <v>12</v>
      </c>
      <c r="C9" s="53" t="s">
        <v>5</v>
      </c>
      <c r="D9" s="94">
        <f>GDBD!D6</f>
        <v>271956000</v>
      </c>
      <c r="E9" s="94"/>
      <c r="F9" s="94"/>
      <c r="G9" s="47">
        <f t="shared" si="0"/>
        <v>271956000</v>
      </c>
      <c r="H9" s="61"/>
    </row>
    <row r="10" spans="1:8" ht="63" customHeight="1">
      <c r="A10" s="68">
        <v>3</v>
      </c>
      <c r="B10" s="59" t="s">
        <v>105</v>
      </c>
      <c r="C10" s="53"/>
      <c r="D10" s="62">
        <f>D7-D9</f>
        <v>4272577000</v>
      </c>
      <c r="E10" s="62">
        <f>E7-E9</f>
        <v>4920603000</v>
      </c>
      <c r="F10" s="62">
        <f>F7-F9</f>
        <v>5015596000</v>
      </c>
      <c r="G10" s="62">
        <f>G7-G9</f>
        <v>14208776000</v>
      </c>
      <c r="H10" s="56"/>
    </row>
    <row r="11" spans="1:8" ht="31.5" customHeight="1">
      <c r="A11" s="68">
        <v>4</v>
      </c>
      <c r="B11" s="59" t="s">
        <v>8</v>
      </c>
      <c r="C11" s="53" t="s">
        <v>5</v>
      </c>
      <c r="D11" s="62">
        <f>D10*40%</f>
        <v>1709030800</v>
      </c>
      <c r="E11" s="62">
        <f>E10*40%</f>
        <v>1968241200</v>
      </c>
      <c r="F11" s="62"/>
      <c r="G11" s="47">
        <f t="shared" si="0"/>
        <v>3677272000</v>
      </c>
      <c r="H11" s="56"/>
    </row>
    <row r="12" spans="1:10" s="206" customFormat="1" ht="43.5" customHeight="1">
      <c r="A12" s="202">
        <v>5</v>
      </c>
      <c r="B12" s="203" t="s">
        <v>65</v>
      </c>
      <c r="C12" s="204" t="s">
        <v>5</v>
      </c>
      <c r="D12" s="47">
        <f>SUM(D13:D14)</f>
        <v>4417128400</v>
      </c>
      <c r="E12" s="47">
        <f>SUM(E13:E14)</f>
        <v>4890260040</v>
      </c>
      <c r="F12" s="47">
        <f>SUM(F13:F14)</f>
        <v>7137206392</v>
      </c>
      <c r="G12" s="47">
        <f>SUM(G13:G14)</f>
        <v>16444594832</v>
      </c>
      <c r="H12" s="205"/>
      <c r="J12" s="207"/>
    </row>
    <row r="13" spans="1:8" ht="22.5" customHeight="1">
      <c r="A13" s="67" t="s">
        <v>10</v>
      </c>
      <c r="B13" s="57" t="s">
        <v>107</v>
      </c>
      <c r="C13" s="53" t="s">
        <v>5</v>
      </c>
      <c r="D13" s="62">
        <f>D10-D11</f>
        <v>2563546200</v>
      </c>
      <c r="E13" s="62">
        <f>E10-E11</f>
        <v>2952361800</v>
      </c>
      <c r="F13" s="62">
        <f>F10-F11</f>
        <v>5015596000</v>
      </c>
      <c r="G13" s="47">
        <f>SUM(D13:F13)</f>
        <v>10531504000</v>
      </c>
      <c r="H13" s="56"/>
    </row>
    <row r="14" spans="1:8" ht="34.5" customHeight="1">
      <c r="A14" s="67" t="s">
        <v>10</v>
      </c>
      <c r="B14" s="59" t="s">
        <v>11</v>
      </c>
      <c r="C14" s="53" t="s">
        <v>5</v>
      </c>
      <c r="D14" s="58">
        <f>D8</f>
        <v>1853582200</v>
      </c>
      <c r="E14" s="58">
        <f>E8</f>
        <v>1937898240</v>
      </c>
      <c r="F14" s="58">
        <f>F8</f>
        <v>2121610392</v>
      </c>
      <c r="G14" s="51">
        <f>SUM(D14:F14)</f>
        <v>5913090832</v>
      </c>
      <c r="H14" s="56"/>
    </row>
    <row r="15" spans="1:9" s="206" customFormat="1" ht="24.75" customHeight="1">
      <c r="A15" s="208">
        <v>6</v>
      </c>
      <c r="B15" s="203" t="s">
        <v>14</v>
      </c>
      <c r="C15" s="209"/>
      <c r="D15" s="47">
        <f>SUM(D16,D25,D26,D27)</f>
        <v>6805256416.081065</v>
      </c>
      <c r="E15" s="47">
        <f>SUM(E16,E25,E26,E27)</f>
        <v>7244477048.621303</v>
      </c>
      <c r="F15" s="47">
        <f>SUM(F16,F25,F26,F27)</f>
        <v>8338689349.17489</v>
      </c>
      <c r="G15" s="47">
        <f>SUM(G16,G25,G26,G27)</f>
        <v>22501673346.331116</v>
      </c>
      <c r="H15" s="210"/>
      <c r="I15" s="39"/>
    </row>
    <row r="16" spans="1:8" s="99" customFormat="1" ht="29.25" customHeight="1">
      <c r="A16" s="95">
        <v>1</v>
      </c>
      <c r="B16" s="96" t="s">
        <v>49</v>
      </c>
      <c r="C16" s="97"/>
      <c r="D16" s="93">
        <f>SUM(D17,D21,D22,D23,D24)</f>
        <v>4138852940</v>
      </c>
      <c r="E16" s="93">
        <f>SUM(E17,E21,E22,E23,E24)</f>
        <v>4571584320</v>
      </c>
      <c r="F16" s="93">
        <f>SUM(F17,F21,F22,F23,F24)</f>
        <v>5390526992</v>
      </c>
      <c r="G16" s="93">
        <f>SUM(G17,G21,G22,G23,G24)</f>
        <v>14100964252</v>
      </c>
      <c r="H16" s="98"/>
    </row>
    <row r="17" spans="1:9" ht="26.25" customHeight="1">
      <c r="A17" s="70" t="s">
        <v>50</v>
      </c>
      <c r="B17" s="48" t="s">
        <v>51</v>
      </c>
      <c r="C17" s="50"/>
      <c r="D17" s="54">
        <f>SUM(D18:D19)</f>
        <v>2878434000</v>
      </c>
      <c r="E17" s="54">
        <f>SUM(E18:E19)</f>
        <v>3212568000</v>
      </c>
      <c r="F17" s="54">
        <f>SUM(F18:F19)</f>
        <v>3833650800</v>
      </c>
      <c r="G17" s="51">
        <f>SUM(D17:F17)</f>
        <v>9924652800</v>
      </c>
      <c r="H17" s="52"/>
      <c r="I17" s="64"/>
    </row>
    <row r="18" spans="1:9" ht="48" customHeight="1">
      <c r="A18" s="69" t="s">
        <v>10</v>
      </c>
      <c r="B18" s="49" t="s">
        <v>62</v>
      </c>
      <c r="C18" s="53" t="s">
        <v>5</v>
      </c>
      <c r="D18" s="54">
        <f>luongcb!D53</f>
        <v>1918956000</v>
      </c>
      <c r="E18" s="54">
        <f>luongcb!E53</f>
        <v>2141712000</v>
      </c>
      <c r="F18" s="54">
        <f>luongcb!F53</f>
        <v>2555767200</v>
      </c>
      <c r="G18" s="51">
        <f>SUM(D18:F18)</f>
        <v>6616435200</v>
      </c>
      <c r="H18" s="52"/>
      <c r="I18" s="64"/>
    </row>
    <row r="19" spans="1:8" ht="41.25" customHeight="1">
      <c r="A19" s="69" t="s">
        <v>10</v>
      </c>
      <c r="B19" s="48" t="s">
        <v>176</v>
      </c>
      <c r="C19" s="53" t="s">
        <v>5</v>
      </c>
      <c r="D19" s="54">
        <f>D18*50%</f>
        <v>959478000</v>
      </c>
      <c r="E19" s="54">
        <f>E18*50%</f>
        <v>1070856000</v>
      </c>
      <c r="F19" s="54">
        <f>F18*50%</f>
        <v>1277883600</v>
      </c>
      <c r="G19" s="51">
        <f>SUM(D19:F19)</f>
        <v>3308217600</v>
      </c>
      <c r="H19" s="52"/>
    </row>
    <row r="20" spans="1:8" ht="47.25" customHeight="1">
      <c r="A20" s="69" t="s">
        <v>10</v>
      </c>
      <c r="B20" s="49" t="s">
        <v>52</v>
      </c>
      <c r="C20" s="53" t="s">
        <v>5</v>
      </c>
      <c r="D20" s="54">
        <f>(D19+D18)/40/12</f>
        <v>5996737.5</v>
      </c>
      <c r="E20" s="54">
        <f>(E19+E18)/42/12</f>
        <v>6374142.857142857</v>
      </c>
      <c r="F20" s="54">
        <f>(F19+F18)/46/12</f>
        <v>6945019.565217392</v>
      </c>
      <c r="G20" s="51"/>
      <c r="H20" s="52"/>
    </row>
    <row r="21" spans="1:8" ht="67.5" customHeight="1">
      <c r="A21" s="70" t="s">
        <v>53</v>
      </c>
      <c r="B21" s="49" t="s">
        <v>108</v>
      </c>
      <c r="C21" s="53" t="s">
        <v>5</v>
      </c>
      <c r="D21" s="54">
        <f>D18*24%</f>
        <v>460549440</v>
      </c>
      <c r="E21" s="54">
        <f>E18*23.5%</f>
        <v>503302320</v>
      </c>
      <c r="F21" s="54">
        <f>F18*23.5%</f>
        <v>600605292</v>
      </c>
      <c r="G21" s="51">
        <f aca="true" t="shared" si="1" ref="G21:G26">SUM(D21:F21)</f>
        <v>1564457052</v>
      </c>
      <c r="H21" s="52"/>
    </row>
    <row r="22" spans="1:8" ht="24.75" customHeight="1">
      <c r="A22" s="70" t="s">
        <v>54</v>
      </c>
      <c r="B22" s="49" t="s">
        <v>63</v>
      </c>
      <c r="C22" s="53" t="s">
        <v>5</v>
      </c>
      <c r="D22" s="54">
        <f>D18/12*1.5</f>
        <v>239869500</v>
      </c>
      <c r="E22" s="54">
        <f>E18/12*1.5</f>
        <v>267714000</v>
      </c>
      <c r="F22" s="54">
        <f>F18/12*1.5</f>
        <v>319470900</v>
      </c>
      <c r="G22" s="51">
        <f t="shared" si="1"/>
        <v>827054400</v>
      </c>
      <c r="H22" s="52"/>
    </row>
    <row r="23" spans="1:8" ht="45.75" customHeight="1">
      <c r="A23" s="70" t="s">
        <v>55</v>
      </c>
      <c r="B23" s="49" t="s">
        <v>64</v>
      </c>
      <c r="C23" s="53" t="s">
        <v>5</v>
      </c>
      <c r="D23" s="54">
        <f>(5000000+1500000+300000)*40</f>
        <v>272000000</v>
      </c>
      <c r="E23" s="54">
        <f>(5000000+1500000+300000)*42</f>
        <v>285600000</v>
      </c>
      <c r="F23" s="54">
        <f>(5000000+1500000+300000)*46</f>
        <v>312800000</v>
      </c>
      <c r="G23" s="51">
        <f t="shared" si="1"/>
        <v>870400000</v>
      </c>
      <c r="H23" s="52"/>
    </row>
    <row r="24" spans="1:8" ht="45.75" customHeight="1">
      <c r="A24" s="70" t="s">
        <v>109</v>
      </c>
      <c r="B24" s="49" t="s">
        <v>110</v>
      </c>
      <c r="C24" s="53" t="s">
        <v>5</v>
      </c>
      <c r="D24" s="54">
        <f>(200000+100000+300000)*40*12</f>
        <v>288000000</v>
      </c>
      <c r="E24" s="54">
        <f>(200000+100000+300000)*42*12</f>
        <v>302400000</v>
      </c>
      <c r="F24" s="54">
        <f>(200000+100000+300000)*45*12</f>
        <v>324000000</v>
      </c>
      <c r="G24" s="51">
        <f t="shared" si="1"/>
        <v>914400000</v>
      </c>
      <c r="H24" s="52"/>
    </row>
    <row r="25" spans="1:8" s="107" customFormat="1" ht="18">
      <c r="A25" s="101">
        <v>2</v>
      </c>
      <c r="B25" s="102" t="s">
        <v>111</v>
      </c>
      <c r="C25" s="103" t="s">
        <v>5</v>
      </c>
      <c r="D25" s="100">
        <f>89000*('[1]DONGIACHITIET'!$M$9+'[1]DONGIACHITIET'!$N$9+'[1]DONGIACHITIET'!$P$9)</f>
        <v>1924300189.8656805</v>
      </c>
      <c r="E25" s="100">
        <f>90000*('[1]DONGIACHITIET'!$M$9+'[1]DONGIACHITIET'!$N$9+'[1]DONGIACHITIET'!$P$9)</f>
        <v>1945921540.3136096</v>
      </c>
      <c r="F25" s="104">
        <f>91891*('[1]DONGIACHITIET'!$M$9+'[1]DONGIACHITIET'!$N$9+'[1]DONGIACHITIET'!$P$9)</f>
        <v>1986807514.0106432</v>
      </c>
      <c r="G25" s="105">
        <f t="shared" si="1"/>
        <v>5857029244.189933</v>
      </c>
      <c r="H25" s="106"/>
    </row>
    <row r="26" spans="1:8" s="107" customFormat="1" ht="18">
      <c r="A26" s="101">
        <v>3</v>
      </c>
      <c r="B26" s="102" t="s">
        <v>56</v>
      </c>
      <c r="C26" s="103" t="s">
        <v>5</v>
      </c>
      <c r="D26" s="100">
        <f>89000*('[1]DONGIACHITIET'!$O$9)</f>
        <v>455671286.2153847</v>
      </c>
      <c r="E26" s="100">
        <f>90000*'[1]DONGIACHITIET'!$O$9</f>
        <v>460791188.3076924</v>
      </c>
      <c r="F26" s="104">
        <f>91891*'[1]DONGIACHITIET'!$O$9</f>
        <v>470472923.16424626</v>
      </c>
      <c r="G26" s="105">
        <f t="shared" si="1"/>
        <v>1386935397.6873233</v>
      </c>
      <c r="H26" s="110"/>
    </row>
    <row r="27" spans="1:8" s="107" customFormat="1" ht="18">
      <c r="A27" s="101">
        <v>4</v>
      </c>
      <c r="B27" s="102" t="s">
        <v>57</v>
      </c>
      <c r="C27" s="103" t="s">
        <v>5</v>
      </c>
      <c r="D27" s="104">
        <f>SUM(D28:D32)</f>
        <v>286432000</v>
      </c>
      <c r="E27" s="104">
        <f>SUM(E28:E32)</f>
        <v>266180000</v>
      </c>
      <c r="F27" s="104">
        <f>SUM(F28:F32)</f>
        <v>490881920</v>
      </c>
      <c r="G27" s="104">
        <f>SUM(G28:G31)</f>
        <v>1156744452.4538572</v>
      </c>
      <c r="H27" s="110"/>
    </row>
    <row r="28" spans="1:8" s="107" customFormat="1" ht="18">
      <c r="A28" s="108" t="s">
        <v>10</v>
      </c>
      <c r="B28" s="109" t="s">
        <v>112</v>
      </c>
      <c r="C28" s="111" t="s">
        <v>5</v>
      </c>
      <c r="D28" s="114"/>
      <c r="E28" s="114"/>
      <c r="F28" s="54">
        <f>F7*2%</f>
        <v>100311920</v>
      </c>
      <c r="G28" s="104">
        <v>463186529.47406214</v>
      </c>
      <c r="H28" s="110"/>
    </row>
    <row r="29" spans="1:8" s="107" customFormat="1" ht="18">
      <c r="A29" s="108" t="s">
        <v>10</v>
      </c>
      <c r="B29" s="109" t="s">
        <v>113</v>
      </c>
      <c r="C29" s="111" t="s">
        <v>5</v>
      </c>
      <c r="D29" s="54">
        <f>660000*12*12*30%</f>
        <v>28512000</v>
      </c>
      <c r="E29" s="54">
        <f>800000*12*12*20%</f>
        <v>23040000</v>
      </c>
      <c r="F29" s="54">
        <f>1100000*12*12*20%</f>
        <v>31680000</v>
      </c>
      <c r="G29" s="104">
        <v>239030286.9260952</v>
      </c>
      <c r="H29" s="110"/>
    </row>
    <row r="30" spans="1:8" s="107" customFormat="1" ht="18">
      <c r="A30" s="108" t="s">
        <v>10</v>
      </c>
      <c r="B30" s="109" t="s">
        <v>9</v>
      </c>
      <c r="C30" s="111" t="s">
        <v>5</v>
      </c>
      <c r="D30" s="54">
        <f>2600000*12*12*30%</f>
        <v>112320000</v>
      </c>
      <c r="E30" s="54">
        <f>2800000*12*12*20%</f>
        <v>80640000</v>
      </c>
      <c r="F30" s="54">
        <f>4800000*12*12*20%</f>
        <v>138240000</v>
      </c>
      <c r="G30" s="104">
        <v>77979887.73926187</v>
      </c>
      <c r="H30" s="110"/>
    </row>
    <row r="31" spans="1:8" s="107" customFormat="1" ht="18">
      <c r="A31" s="108" t="s">
        <v>10</v>
      </c>
      <c r="B31" s="109" t="s">
        <v>114</v>
      </c>
      <c r="C31" s="111" t="s">
        <v>5</v>
      </c>
      <c r="D31" s="54">
        <f>(40*150000*12)+(24*500000*4)</f>
        <v>120000000</v>
      </c>
      <c r="E31" s="54">
        <v>130000000</v>
      </c>
      <c r="F31" s="54">
        <v>165000000</v>
      </c>
      <c r="G31" s="104">
        <v>376547748.31443805</v>
      </c>
      <c r="H31" s="110"/>
    </row>
    <row r="32" spans="1:8" s="107" customFormat="1" ht="18">
      <c r="A32" s="108" t="s">
        <v>10</v>
      </c>
      <c r="B32" s="109" t="s">
        <v>177</v>
      </c>
      <c r="C32" s="111" t="s">
        <v>5</v>
      </c>
      <c r="D32" s="54">
        <v>25600000</v>
      </c>
      <c r="E32" s="54">
        <v>32500000</v>
      </c>
      <c r="F32" s="54">
        <v>55650000</v>
      </c>
      <c r="G32" s="104">
        <v>376547748.31443805</v>
      </c>
      <c r="H32" s="110"/>
    </row>
    <row r="33" spans="1:8" s="107" customFormat="1" ht="18">
      <c r="A33" s="101" t="s">
        <v>58</v>
      </c>
      <c r="B33" s="102" t="s">
        <v>59</v>
      </c>
      <c r="C33" s="109"/>
      <c r="D33" s="54">
        <f>D12-D15</f>
        <v>-2388128016.081065</v>
      </c>
      <c r="E33" s="54">
        <f>E12-E15</f>
        <v>-2354217008.6213026</v>
      </c>
      <c r="F33" s="54">
        <f>F12-F15</f>
        <v>-1201482957.1748896</v>
      </c>
      <c r="G33" s="105">
        <f>SUM(D33:F33)</f>
        <v>-5943827981.877257</v>
      </c>
      <c r="H33" s="110"/>
    </row>
    <row r="34" spans="1:8" s="107" customFormat="1" ht="18">
      <c r="A34" s="112" t="s">
        <v>60</v>
      </c>
      <c r="B34" s="102" t="s">
        <v>61</v>
      </c>
      <c r="C34" s="109"/>
      <c r="D34" s="113">
        <f>D15/D12*100%</f>
        <v>1.540651708490309</v>
      </c>
      <c r="E34" s="113">
        <f>E15/E12*100%</f>
        <v>1.4814093707420317</v>
      </c>
      <c r="F34" s="113">
        <f>F15/F12*100%</f>
        <v>1.1683407892647768</v>
      </c>
      <c r="G34" s="113">
        <f>G15/G12*100%</f>
        <v>1.3683324871309372</v>
      </c>
      <c r="H34" s="110"/>
    </row>
    <row r="37" ht="18" hidden="1">
      <c r="B37" s="160" t="s">
        <v>119</v>
      </c>
    </row>
  </sheetData>
  <sheetProtection/>
  <mergeCells count="7">
    <mergeCell ref="A2:H2"/>
    <mergeCell ref="A3:H3"/>
    <mergeCell ref="A4:A5"/>
    <mergeCell ref="B4:B5"/>
    <mergeCell ref="C4:C5"/>
    <mergeCell ref="D4:G4"/>
    <mergeCell ref="H4:H5"/>
  </mergeCells>
  <printOptions horizontalCentered="1"/>
  <pageMargins left="0" right="0" top="0.58" bottom="0.3" header="0.3" footer="0.3"/>
  <pageSetup horizontalDpi="600" verticalDpi="600" orientation="landscape" paperSize="9" scale="70" r:id="rId3"/>
  <headerFooter>
    <oddFooter>&amp;R&amp;P</oddFooter>
  </headerFooter>
  <legacyDrawing r:id="rId2"/>
</worksheet>
</file>

<file path=xl/worksheets/sheet8.xml><?xml version="1.0" encoding="utf-8"?>
<worksheet xmlns="http://schemas.openxmlformats.org/spreadsheetml/2006/main" xmlns:r="http://schemas.openxmlformats.org/officeDocument/2006/relationships">
  <dimension ref="A1:O64"/>
  <sheetViews>
    <sheetView zoomScalePageLayoutView="0" workbookViewId="0" topLeftCell="A31">
      <selection activeCell="F50" sqref="F50:F51"/>
    </sheetView>
  </sheetViews>
  <sheetFormatPr defaultColWidth="6.99609375" defaultRowHeight="18.75"/>
  <cols>
    <col min="1" max="1" width="6.6640625" style="13" customWidth="1"/>
    <col min="2" max="2" width="24.5546875" style="10" customWidth="1"/>
    <col min="3" max="4" width="16.6640625" style="11" customWidth="1"/>
    <col min="5" max="5" width="16.6640625" style="12" customWidth="1"/>
    <col min="6" max="7" width="16.6640625" style="11" customWidth="1"/>
    <col min="8" max="8" width="38.4453125" style="13" customWidth="1"/>
    <col min="9" max="9" width="6.99609375" style="13" customWidth="1"/>
    <col min="10" max="10" width="9.77734375" style="13" bestFit="1" customWidth="1"/>
    <col min="11" max="11" width="7.88671875" style="13" bestFit="1" customWidth="1"/>
    <col min="12" max="16384" width="6.99609375" style="13" customWidth="1"/>
  </cols>
  <sheetData>
    <row r="1" ht="30.75" customHeight="1">
      <c r="A1" s="9" t="s">
        <v>15</v>
      </c>
    </row>
    <row r="2" spans="1:8" ht="48" customHeight="1">
      <c r="A2" s="424" t="s">
        <v>16</v>
      </c>
      <c r="B2" s="425"/>
      <c r="C2" s="425"/>
      <c r="D2" s="425"/>
      <c r="E2" s="425"/>
      <c r="F2" s="425"/>
      <c r="G2" s="425"/>
      <c r="H2" s="425"/>
    </row>
    <row r="3" spans="1:8" ht="33" customHeight="1">
      <c r="A3" s="14"/>
      <c r="B3" s="14"/>
      <c r="C3" s="14"/>
      <c r="D3" s="8">
        <v>1300000</v>
      </c>
      <c r="E3" s="8">
        <v>1390000</v>
      </c>
      <c r="F3" s="8">
        <v>1490000</v>
      </c>
      <c r="G3" s="8">
        <v>1490000</v>
      </c>
      <c r="H3" s="15" t="s">
        <v>17</v>
      </c>
    </row>
    <row r="4" spans="1:15" ht="42" customHeight="1">
      <c r="A4" s="431" t="s">
        <v>18</v>
      </c>
      <c r="B4" s="431" t="s">
        <v>19</v>
      </c>
      <c r="C4" s="433" t="s">
        <v>20</v>
      </c>
      <c r="D4" s="435" t="s">
        <v>48</v>
      </c>
      <c r="E4" s="436"/>
      <c r="F4" s="437"/>
      <c r="G4" s="8">
        <v>1600000</v>
      </c>
      <c r="H4" s="16" t="s">
        <v>21</v>
      </c>
      <c r="L4" s="429"/>
      <c r="M4" s="429"/>
      <c r="N4" s="429"/>
      <c r="O4" s="429"/>
    </row>
    <row r="5" spans="1:15" ht="69.75" customHeight="1">
      <c r="A5" s="432"/>
      <c r="B5" s="432"/>
      <c r="C5" s="434"/>
      <c r="D5" s="45" t="s">
        <v>102</v>
      </c>
      <c r="E5" s="45" t="s">
        <v>103</v>
      </c>
      <c r="F5" s="45" t="s">
        <v>104</v>
      </c>
      <c r="G5" s="45" t="s">
        <v>156</v>
      </c>
      <c r="H5" s="16"/>
      <c r="L5" s="44"/>
      <c r="M5" s="44"/>
      <c r="N5" s="44"/>
      <c r="O5" s="44"/>
    </row>
    <row r="6" spans="1:15" s="163" customFormat="1" ht="18">
      <c r="A6" s="169">
        <v>1</v>
      </c>
      <c r="B6" s="91" t="s">
        <v>22</v>
      </c>
      <c r="C6" s="19">
        <v>3.33</v>
      </c>
      <c r="D6" s="162">
        <f>C6*$D$3*12</f>
        <v>51948000</v>
      </c>
      <c r="E6" s="162">
        <f>C6*$E$3*12</f>
        <v>55544400</v>
      </c>
      <c r="F6" s="162">
        <f>C6*$F$3*12</f>
        <v>59540400</v>
      </c>
      <c r="G6" s="162">
        <f>(C6*$G$3*6)+(C6*1600000*6)</f>
        <v>61738200</v>
      </c>
      <c r="H6" s="430" t="s">
        <v>23</v>
      </c>
      <c r="L6" s="164"/>
      <c r="M6" s="164"/>
      <c r="N6" s="164"/>
      <c r="O6" s="164"/>
    </row>
    <row r="7" spans="1:8" s="163" customFormat="1" ht="18">
      <c r="A7" s="169">
        <f>A6+1</f>
        <v>2</v>
      </c>
      <c r="B7" s="91" t="s">
        <v>24</v>
      </c>
      <c r="C7" s="19">
        <v>3</v>
      </c>
      <c r="D7" s="162">
        <f>C7*$D$3*12</f>
        <v>46800000</v>
      </c>
      <c r="E7" s="162">
        <f>C7*$E$3*12</f>
        <v>50040000</v>
      </c>
      <c r="F7" s="162">
        <f>C7*$F$3*12</f>
        <v>53640000</v>
      </c>
      <c r="G7" s="162">
        <f>(C7*$G$3*6)+(C7*1600000*6)</f>
        <v>55620000</v>
      </c>
      <c r="H7" s="430"/>
    </row>
    <row r="8" spans="1:8" s="163" customFormat="1" ht="18">
      <c r="A8" s="169">
        <f aca="true" t="shared" si="0" ref="A8:A52">A7+1</f>
        <v>3</v>
      </c>
      <c r="B8" s="170" t="s">
        <v>158</v>
      </c>
      <c r="C8" s="177">
        <v>4.720000000000001</v>
      </c>
      <c r="D8" s="162">
        <f aca="true" t="shared" si="1" ref="D8:D45">C8*$D$3*12</f>
        <v>73632000.00000001</v>
      </c>
      <c r="E8" s="162">
        <f aca="true" t="shared" si="2" ref="E8:E47">C8*$E$3*12</f>
        <v>78729600.00000001</v>
      </c>
      <c r="F8" s="162">
        <f aca="true" t="shared" si="3" ref="F8:F51">C8*$F$3*12</f>
        <v>84393600.00000001</v>
      </c>
      <c r="G8" s="162">
        <f aca="true" t="shared" si="4" ref="G8:G52">(C8*$G$3*6)+(C8*1600000*6)</f>
        <v>87508800.00000001</v>
      </c>
      <c r="H8" s="430"/>
    </row>
    <row r="9" spans="1:8" s="163" customFormat="1" ht="18">
      <c r="A9" s="169">
        <f t="shared" si="0"/>
        <v>4</v>
      </c>
      <c r="B9" s="171" t="s">
        <v>159</v>
      </c>
      <c r="C9" s="177">
        <v>3.33</v>
      </c>
      <c r="D9" s="162">
        <f t="shared" si="1"/>
        <v>51948000</v>
      </c>
      <c r="E9" s="162">
        <f t="shared" si="2"/>
        <v>55544400</v>
      </c>
      <c r="F9" s="162">
        <f t="shared" si="3"/>
        <v>59540400</v>
      </c>
      <c r="G9" s="162">
        <f t="shared" si="4"/>
        <v>61738200</v>
      </c>
      <c r="H9" s="430"/>
    </row>
    <row r="10" spans="1:8" s="163" customFormat="1" ht="18">
      <c r="A10" s="169">
        <f t="shared" si="0"/>
        <v>5</v>
      </c>
      <c r="B10" s="172" t="s">
        <v>160</v>
      </c>
      <c r="C10" s="177">
        <v>3.1</v>
      </c>
      <c r="D10" s="162">
        <f t="shared" si="1"/>
        <v>48360000</v>
      </c>
      <c r="E10" s="162">
        <f t="shared" si="2"/>
        <v>51708000</v>
      </c>
      <c r="F10" s="162">
        <f t="shared" si="3"/>
        <v>55428000</v>
      </c>
      <c r="G10" s="162">
        <f t="shared" si="4"/>
        <v>57474000</v>
      </c>
      <c r="H10" s="430"/>
    </row>
    <row r="11" spans="1:12" s="163" customFormat="1" ht="18">
      <c r="A11" s="169">
        <f t="shared" si="0"/>
        <v>6</v>
      </c>
      <c r="B11" s="173" t="s">
        <v>161</v>
      </c>
      <c r="C11" s="177">
        <v>3</v>
      </c>
      <c r="D11" s="162">
        <f t="shared" si="1"/>
        <v>46800000</v>
      </c>
      <c r="E11" s="162">
        <f t="shared" si="2"/>
        <v>50040000</v>
      </c>
      <c r="F11" s="162">
        <f t="shared" si="3"/>
        <v>53640000</v>
      </c>
      <c r="G11" s="162">
        <f t="shared" si="4"/>
        <v>55620000</v>
      </c>
      <c r="H11" s="430"/>
      <c r="J11" s="164"/>
      <c r="K11" s="164"/>
      <c r="L11" s="164"/>
    </row>
    <row r="12" spans="1:12" s="163" customFormat="1" ht="18">
      <c r="A12" s="169">
        <f t="shared" si="0"/>
        <v>7</v>
      </c>
      <c r="B12" s="173" t="s">
        <v>162</v>
      </c>
      <c r="C12" s="177">
        <v>3.33</v>
      </c>
      <c r="D12" s="162">
        <f t="shared" si="1"/>
        <v>51948000</v>
      </c>
      <c r="E12" s="162">
        <f t="shared" si="2"/>
        <v>55544400</v>
      </c>
      <c r="F12" s="162">
        <f t="shared" si="3"/>
        <v>59540400</v>
      </c>
      <c r="G12" s="162">
        <f t="shared" si="4"/>
        <v>61738200</v>
      </c>
      <c r="H12" s="430"/>
      <c r="J12" s="164"/>
      <c r="K12" s="164"/>
      <c r="L12" s="164"/>
    </row>
    <row r="13" spans="1:12" s="163" customFormat="1" ht="18">
      <c r="A13" s="169">
        <f t="shared" si="0"/>
        <v>8</v>
      </c>
      <c r="B13" s="174" t="s">
        <v>163</v>
      </c>
      <c r="C13" s="177">
        <v>3.7600000000000002</v>
      </c>
      <c r="D13" s="162">
        <f t="shared" si="1"/>
        <v>58656000</v>
      </c>
      <c r="E13" s="162">
        <f t="shared" si="2"/>
        <v>62716800</v>
      </c>
      <c r="F13" s="162">
        <f t="shared" si="3"/>
        <v>67228800</v>
      </c>
      <c r="G13" s="162">
        <f t="shared" si="4"/>
        <v>69710400</v>
      </c>
      <c r="H13" s="430"/>
      <c r="J13" s="164"/>
      <c r="K13" s="164"/>
      <c r="L13" s="164"/>
    </row>
    <row r="14" spans="1:12" s="163" customFormat="1" ht="18">
      <c r="A14" s="169">
        <f t="shared" si="0"/>
        <v>9</v>
      </c>
      <c r="B14" s="175" t="s">
        <v>164</v>
      </c>
      <c r="C14" s="177">
        <v>3</v>
      </c>
      <c r="D14" s="162">
        <f t="shared" si="1"/>
        <v>46800000</v>
      </c>
      <c r="E14" s="162">
        <f t="shared" si="2"/>
        <v>50040000</v>
      </c>
      <c r="F14" s="162">
        <f t="shared" si="3"/>
        <v>53640000</v>
      </c>
      <c r="G14" s="162">
        <f t="shared" si="4"/>
        <v>55620000</v>
      </c>
      <c r="H14" s="430"/>
      <c r="J14" s="164"/>
      <c r="K14" s="164"/>
      <c r="L14" s="164"/>
    </row>
    <row r="15" spans="1:12" s="163" customFormat="1" ht="18">
      <c r="A15" s="169">
        <f t="shared" si="0"/>
        <v>10</v>
      </c>
      <c r="B15" s="174" t="s">
        <v>165</v>
      </c>
      <c r="C15" s="177">
        <v>3.06</v>
      </c>
      <c r="D15" s="162">
        <f t="shared" si="1"/>
        <v>47736000</v>
      </c>
      <c r="E15" s="162">
        <f t="shared" si="2"/>
        <v>51040800</v>
      </c>
      <c r="F15" s="162">
        <f t="shared" si="3"/>
        <v>54712800</v>
      </c>
      <c r="G15" s="162">
        <f t="shared" si="4"/>
        <v>56732400</v>
      </c>
      <c r="H15" s="430"/>
      <c r="J15" s="164"/>
      <c r="K15" s="164"/>
      <c r="L15" s="164"/>
    </row>
    <row r="16" spans="1:12" s="163" customFormat="1" ht="18">
      <c r="A16" s="169">
        <f t="shared" si="0"/>
        <v>11</v>
      </c>
      <c r="B16" s="176" t="s">
        <v>166</v>
      </c>
      <c r="C16" s="19">
        <v>3</v>
      </c>
      <c r="D16" s="162">
        <f t="shared" si="1"/>
        <v>46800000</v>
      </c>
      <c r="E16" s="162">
        <f t="shared" si="2"/>
        <v>50040000</v>
      </c>
      <c r="F16" s="162">
        <f t="shared" si="3"/>
        <v>53640000</v>
      </c>
      <c r="G16" s="162">
        <f t="shared" si="4"/>
        <v>55620000</v>
      </c>
      <c r="H16" s="430"/>
      <c r="J16" s="164"/>
      <c r="K16" s="164"/>
      <c r="L16" s="164"/>
    </row>
    <row r="17" spans="1:12" s="163" customFormat="1" ht="18">
      <c r="A17" s="169">
        <f t="shared" si="0"/>
        <v>12</v>
      </c>
      <c r="B17" s="91" t="s">
        <v>81</v>
      </c>
      <c r="C17" s="19">
        <v>2.67</v>
      </c>
      <c r="D17" s="162">
        <f t="shared" si="1"/>
        <v>41652000</v>
      </c>
      <c r="E17" s="162">
        <f t="shared" si="2"/>
        <v>44535600</v>
      </c>
      <c r="F17" s="162">
        <f t="shared" si="3"/>
        <v>47739600</v>
      </c>
      <c r="G17" s="162">
        <f t="shared" si="4"/>
        <v>49501800</v>
      </c>
      <c r="H17" s="430"/>
      <c r="J17" s="164"/>
      <c r="K17" s="166"/>
      <c r="L17" s="164"/>
    </row>
    <row r="18" spans="1:12" s="163" customFormat="1" ht="18">
      <c r="A18" s="169">
        <f t="shared" si="0"/>
        <v>13</v>
      </c>
      <c r="B18" s="91" t="s">
        <v>25</v>
      </c>
      <c r="C18" s="20">
        <v>3.99</v>
      </c>
      <c r="D18" s="162">
        <f t="shared" si="1"/>
        <v>62244000</v>
      </c>
      <c r="E18" s="162">
        <f t="shared" si="2"/>
        <v>66553200</v>
      </c>
      <c r="F18" s="162">
        <f t="shared" si="3"/>
        <v>71341200</v>
      </c>
      <c r="G18" s="162">
        <f t="shared" si="4"/>
        <v>73974600</v>
      </c>
      <c r="H18" s="426" t="s">
        <v>26</v>
      </c>
      <c r="J18" s="164"/>
      <c r="K18" s="166"/>
      <c r="L18" s="164"/>
    </row>
    <row r="19" spans="1:12" s="163" customFormat="1" ht="18">
      <c r="A19" s="169">
        <f t="shared" si="0"/>
        <v>14</v>
      </c>
      <c r="B19" s="91" t="s">
        <v>167</v>
      </c>
      <c r="C19" s="20">
        <v>2.87</v>
      </c>
      <c r="D19" s="162">
        <f t="shared" si="1"/>
        <v>44772000</v>
      </c>
      <c r="E19" s="162">
        <f t="shared" si="2"/>
        <v>47871600</v>
      </c>
      <c r="F19" s="162">
        <f t="shared" si="3"/>
        <v>51315600</v>
      </c>
      <c r="G19" s="162">
        <f t="shared" si="4"/>
        <v>53209800</v>
      </c>
      <c r="H19" s="428"/>
      <c r="J19" s="164"/>
      <c r="K19" s="164"/>
      <c r="L19" s="164"/>
    </row>
    <row r="20" spans="1:12" s="163" customFormat="1" ht="18">
      <c r="A20" s="169">
        <f t="shared" si="0"/>
        <v>15</v>
      </c>
      <c r="B20" s="174" t="s">
        <v>168</v>
      </c>
      <c r="C20" s="20">
        <v>3.66</v>
      </c>
      <c r="D20" s="162">
        <f t="shared" si="1"/>
        <v>57096000</v>
      </c>
      <c r="E20" s="162">
        <f t="shared" si="2"/>
        <v>61048800</v>
      </c>
      <c r="F20" s="162">
        <f t="shared" si="3"/>
        <v>65440800</v>
      </c>
      <c r="G20" s="162">
        <f t="shared" si="4"/>
        <v>67856400</v>
      </c>
      <c r="H20" s="428"/>
      <c r="J20" s="164"/>
      <c r="K20" s="164"/>
      <c r="L20" s="164"/>
    </row>
    <row r="21" spans="1:12" s="163" customFormat="1" ht="18">
      <c r="A21" s="169">
        <f t="shared" si="0"/>
        <v>16</v>
      </c>
      <c r="B21" s="174" t="s">
        <v>169</v>
      </c>
      <c r="C21" s="20">
        <v>3</v>
      </c>
      <c r="D21" s="162">
        <f t="shared" si="1"/>
        <v>46800000</v>
      </c>
      <c r="E21" s="162">
        <f t="shared" si="2"/>
        <v>50040000</v>
      </c>
      <c r="F21" s="162">
        <f t="shared" si="3"/>
        <v>53640000</v>
      </c>
      <c r="G21" s="162">
        <f t="shared" si="4"/>
        <v>55620000</v>
      </c>
      <c r="H21" s="428"/>
      <c r="J21" s="164"/>
      <c r="K21" s="164"/>
      <c r="L21" s="164"/>
    </row>
    <row r="22" spans="1:12" s="163" customFormat="1" ht="18">
      <c r="A22" s="169">
        <f t="shared" si="0"/>
        <v>17</v>
      </c>
      <c r="B22" s="91" t="s">
        <v>82</v>
      </c>
      <c r="C22" s="20">
        <v>2.66</v>
      </c>
      <c r="D22" s="162">
        <f t="shared" si="1"/>
        <v>41496000</v>
      </c>
      <c r="E22" s="162">
        <f t="shared" si="2"/>
        <v>44368800</v>
      </c>
      <c r="F22" s="162">
        <f t="shared" si="3"/>
        <v>47560800</v>
      </c>
      <c r="G22" s="162">
        <f t="shared" si="4"/>
        <v>49316400</v>
      </c>
      <c r="H22" s="427"/>
      <c r="J22" s="164"/>
      <c r="K22" s="164"/>
      <c r="L22" s="164"/>
    </row>
    <row r="23" spans="1:12" s="163" customFormat="1" ht="18">
      <c r="A23" s="169">
        <f t="shared" si="0"/>
        <v>18</v>
      </c>
      <c r="B23" s="91" t="s">
        <v>83</v>
      </c>
      <c r="C23" s="19">
        <v>2.34</v>
      </c>
      <c r="D23" s="162">
        <f t="shared" si="1"/>
        <v>36504000</v>
      </c>
      <c r="E23" s="162">
        <f t="shared" si="2"/>
        <v>39031200</v>
      </c>
      <c r="F23" s="162">
        <f t="shared" si="3"/>
        <v>41839200</v>
      </c>
      <c r="G23" s="162">
        <f t="shared" si="4"/>
        <v>43383600</v>
      </c>
      <c r="H23" s="426" t="s">
        <v>27</v>
      </c>
      <c r="J23" s="167"/>
      <c r="K23" s="165"/>
      <c r="L23" s="164"/>
    </row>
    <row r="24" spans="1:12" s="163" customFormat="1" ht="18">
      <c r="A24" s="169">
        <f t="shared" si="0"/>
        <v>19</v>
      </c>
      <c r="B24" s="179" t="s">
        <v>171</v>
      </c>
      <c r="C24" s="19">
        <v>3.96</v>
      </c>
      <c r="D24" s="162">
        <f t="shared" si="1"/>
        <v>61776000</v>
      </c>
      <c r="E24" s="162">
        <f t="shared" si="2"/>
        <v>66052800</v>
      </c>
      <c r="F24" s="162">
        <f t="shared" si="3"/>
        <v>70804800</v>
      </c>
      <c r="G24" s="162">
        <f t="shared" si="4"/>
        <v>73418400</v>
      </c>
      <c r="H24" s="428"/>
      <c r="J24" s="167"/>
      <c r="K24" s="165"/>
      <c r="L24" s="164"/>
    </row>
    <row r="25" spans="1:12" s="163" customFormat="1" ht="18">
      <c r="A25" s="169">
        <f t="shared" si="0"/>
        <v>20</v>
      </c>
      <c r="B25" s="178" t="s">
        <v>170</v>
      </c>
      <c r="C25" s="19">
        <v>3.33</v>
      </c>
      <c r="D25" s="162">
        <f t="shared" si="1"/>
        <v>51948000</v>
      </c>
      <c r="E25" s="162">
        <f t="shared" si="2"/>
        <v>55544400</v>
      </c>
      <c r="F25" s="162">
        <f t="shared" si="3"/>
        <v>59540400</v>
      </c>
      <c r="G25" s="162">
        <f t="shared" si="4"/>
        <v>61738200</v>
      </c>
      <c r="H25" s="428"/>
      <c r="J25" s="164"/>
      <c r="K25" s="165"/>
      <c r="L25" s="164"/>
    </row>
    <row r="26" spans="1:12" s="163" customFormat="1" ht="18">
      <c r="A26" s="169">
        <f t="shared" si="0"/>
        <v>21</v>
      </c>
      <c r="B26" s="91" t="s">
        <v>84</v>
      </c>
      <c r="C26" s="19">
        <v>2.46</v>
      </c>
      <c r="D26" s="162">
        <f t="shared" si="1"/>
        <v>38376000</v>
      </c>
      <c r="E26" s="162">
        <f t="shared" si="2"/>
        <v>41032800</v>
      </c>
      <c r="F26" s="162">
        <f t="shared" si="3"/>
        <v>43984800</v>
      </c>
      <c r="G26" s="162">
        <f t="shared" si="4"/>
        <v>45608400</v>
      </c>
      <c r="H26" s="427"/>
      <c r="J26" s="164"/>
      <c r="K26" s="165"/>
      <c r="L26" s="164"/>
    </row>
    <row r="27" spans="1:12" s="163" customFormat="1" ht="18">
      <c r="A27" s="169">
        <f t="shared" si="0"/>
        <v>22</v>
      </c>
      <c r="B27" s="91" t="s">
        <v>85</v>
      </c>
      <c r="C27" s="20">
        <v>3</v>
      </c>
      <c r="D27" s="162">
        <f t="shared" si="1"/>
        <v>46800000</v>
      </c>
      <c r="E27" s="162">
        <f t="shared" si="2"/>
        <v>50040000</v>
      </c>
      <c r="F27" s="162">
        <f t="shared" si="3"/>
        <v>53640000</v>
      </c>
      <c r="G27" s="162">
        <f t="shared" si="4"/>
        <v>55620000</v>
      </c>
      <c r="H27" s="426" t="s">
        <v>28</v>
      </c>
      <c r="J27" s="164"/>
      <c r="K27" s="165"/>
      <c r="L27" s="164"/>
    </row>
    <row r="28" spans="1:12" s="163" customFormat="1" ht="18">
      <c r="A28" s="169">
        <f t="shared" si="0"/>
        <v>23</v>
      </c>
      <c r="B28" s="91" t="s">
        <v>86</v>
      </c>
      <c r="C28" s="20">
        <v>3.66</v>
      </c>
      <c r="D28" s="162">
        <f t="shared" si="1"/>
        <v>57096000</v>
      </c>
      <c r="E28" s="162">
        <f t="shared" si="2"/>
        <v>61048800</v>
      </c>
      <c r="F28" s="162">
        <f t="shared" si="3"/>
        <v>65440800</v>
      </c>
      <c r="G28" s="162">
        <f t="shared" si="4"/>
        <v>67856400</v>
      </c>
      <c r="H28" s="427"/>
      <c r="J28" s="164"/>
      <c r="K28" s="165"/>
      <c r="L28" s="164"/>
    </row>
    <row r="29" spans="1:12" s="163" customFormat="1" ht="18">
      <c r="A29" s="169">
        <f t="shared" si="0"/>
        <v>24</v>
      </c>
      <c r="B29" s="91" t="s">
        <v>87</v>
      </c>
      <c r="C29" s="19">
        <v>2.34</v>
      </c>
      <c r="D29" s="162">
        <f t="shared" si="1"/>
        <v>36504000</v>
      </c>
      <c r="E29" s="162">
        <f t="shared" si="2"/>
        <v>39031200</v>
      </c>
      <c r="F29" s="162">
        <f t="shared" si="3"/>
        <v>41839200</v>
      </c>
      <c r="G29" s="162">
        <f t="shared" si="4"/>
        <v>43383600</v>
      </c>
      <c r="H29" s="426" t="s">
        <v>29</v>
      </c>
      <c r="J29" s="164"/>
      <c r="K29" s="165"/>
      <c r="L29" s="164"/>
    </row>
    <row r="30" spans="1:12" s="163" customFormat="1" ht="18">
      <c r="A30" s="169">
        <f t="shared" si="0"/>
        <v>25</v>
      </c>
      <c r="B30" s="180" t="s">
        <v>172</v>
      </c>
      <c r="C30" s="19">
        <v>4.19</v>
      </c>
      <c r="D30" s="162">
        <f t="shared" si="1"/>
        <v>65364000.000000015</v>
      </c>
      <c r="E30" s="162">
        <f t="shared" si="2"/>
        <v>69889200.00000001</v>
      </c>
      <c r="F30" s="162">
        <f t="shared" si="3"/>
        <v>74917200.00000001</v>
      </c>
      <c r="G30" s="162">
        <f t="shared" si="4"/>
        <v>77682600.00000001</v>
      </c>
      <c r="H30" s="428"/>
      <c r="J30" s="164"/>
      <c r="K30" s="165"/>
      <c r="L30" s="164"/>
    </row>
    <row r="31" spans="1:12" s="163" customFormat="1" ht="18">
      <c r="A31" s="169">
        <f t="shared" si="0"/>
        <v>26</v>
      </c>
      <c r="B31" s="181" t="s">
        <v>173</v>
      </c>
      <c r="C31" s="19">
        <v>2.77</v>
      </c>
      <c r="D31" s="162">
        <f t="shared" si="1"/>
        <v>43212000</v>
      </c>
      <c r="E31" s="162">
        <f t="shared" si="2"/>
        <v>46203600</v>
      </c>
      <c r="F31" s="162">
        <f t="shared" si="3"/>
        <v>49527600</v>
      </c>
      <c r="G31" s="162">
        <f t="shared" si="4"/>
        <v>51355800</v>
      </c>
      <c r="H31" s="428"/>
      <c r="J31" s="164"/>
      <c r="K31" s="165"/>
      <c r="L31" s="164"/>
    </row>
    <row r="32" spans="1:12" s="163" customFormat="1" ht="18">
      <c r="A32" s="169">
        <f t="shared" si="0"/>
        <v>27</v>
      </c>
      <c r="B32" s="91" t="s">
        <v>88</v>
      </c>
      <c r="C32" s="19">
        <v>3.26</v>
      </c>
      <c r="D32" s="162">
        <f t="shared" si="1"/>
        <v>50856000</v>
      </c>
      <c r="E32" s="162">
        <f t="shared" si="2"/>
        <v>54376800</v>
      </c>
      <c r="F32" s="162">
        <f t="shared" si="3"/>
        <v>58288800</v>
      </c>
      <c r="G32" s="162">
        <f t="shared" si="4"/>
        <v>60440400</v>
      </c>
      <c r="H32" s="427"/>
      <c r="J32" s="164"/>
      <c r="K32" s="165"/>
      <c r="L32" s="164"/>
    </row>
    <row r="33" spans="1:12" s="163" customFormat="1" ht="18">
      <c r="A33" s="169">
        <f t="shared" si="0"/>
        <v>28</v>
      </c>
      <c r="B33" s="91" t="s">
        <v>89</v>
      </c>
      <c r="C33" s="19">
        <v>2.1</v>
      </c>
      <c r="D33" s="162">
        <f t="shared" si="1"/>
        <v>32760000</v>
      </c>
      <c r="E33" s="162">
        <f t="shared" si="2"/>
        <v>35028000</v>
      </c>
      <c r="F33" s="162">
        <f t="shared" si="3"/>
        <v>37548000</v>
      </c>
      <c r="G33" s="162">
        <f t="shared" si="4"/>
        <v>38934000</v>
      </c>
      <c r="H33" s="426" t="s">
        <v>30</v>
      </c>
      <c r="J33" s="164"/>
      <c r="K33" s="165"/>
      <c r="L33" s="164"/>
    </row>
    <row r="34" spans="1:12" s="163" customFormat="1" ht="18">
      <c r="A34" s="169">
        <f t="shared" si="0"/>
        <v>29</v>
      </c>
      <c r="B34" s="182" t="s">
        <v>174</v>
      </c>
      <c r="C34" s="19">
        <v>3.63</v>
      </c>
      <c r="D34" s="162">
        <f t="shared" si="1"/>
        <v>56628000</v>
      </c>
      <c r="E34" s="162">
        <f t="shared" si="2"/>
        <v>60548400</v>
      </c>
      <c r="F34" s="162">
        <f t="shared" si="3"/>
        <v>64904400</v>
      </c>
      <c r="G34" s="162">
        <f t="shared" si="4"/>
        <v>67300200</v>
      </c>
      <c r="H34" s="428"/>
      <c r="J34" s="164"/>
      <c r="K34" s="165"/>
      <c r="L34" s="164"/>
    </row>
    <row r="35" spans="1:12" s="163" customFormat="1" ht="18">
      <c r="A35" s="169">
        <f t="shared" si="0"/>
        <v>30</v>
      </c>
      <c r="B35" s="91" t="s">
        <v>90</v>
      </c>
      <c r="C35" s="20">
        <v>3</v>
      </c>
      <c r="D35" s="162">
        <f t="shared" si="1"/>
        <v>46800000</v>
      </c>
      <c r="E35" s="162">
        <f t="shared" si="2"/>
        <v>50040000</v>
      </c>
      <c r="F35" s="162">
        <f t="shared" si="3"/>
        <v>53640000</v>
      </c>
      <c r="G35" s="162">
        <f t="shared" si="4"/>
        <v>55620000</v>
      </c>
      <c r="H35" s="427"/>
      <c r="J35" s="164"/>
      <c r="K35" s="165"/>
      <c r="L35" s="164"/>
    </row>
    <row r="36" spans="1:12" s="163" customFormat="1" ht="18">
      <c r="A36" s="169">
        <f t="shared" si="0"/>
        <v>31</v>
      </c>
      <c r="B36" s="91" t="s">
        <v>31</v>
      </c>
      <c r="C36" s="20">
        <v>2.67</v>
      </c>
      <c r="D36" s="162">
        <f t="shared" si="1"/>
        <v>41652000</v>
      </c>
      <c r="E36" s="162">
        <f t="shared" si="2"/>
        <v>44535600</v>
      </c>
      <c r="F36" s="162">
        <f t="shared" si="3"/>
        <v>47739600</v>
      </c>
      <c r="G36" s="162">
        <f t="shared" si="4"/>
        <v>49501800</v>
      </c>
      <c r="H36" s="426" t="s">
        <v>32</v>
      </c>
      <c r="J36" s="164"/>
      <c r="K36" s="165"/>
      <c r="L36" s="164"/>
    </row>
    <row r="37" spans="1:12" s="163" customFormat="1" ht="18">
      <c r="A37" s="169">
        <f t="shared" si="0"/>
        <v>32</v>
      </c>
      <c r="B37" s="91" t="s">
        <v>91</v>
      </c>
      <c r="C37" s="22">
        <v>2.72</v>
      </c>
      <c r="D37" s="162">
        <f t="shared" si="1"/>
        <v>42432000.00000001</v>
      </c>
      <c r="E37" s="162">
        <f t="shared" si="2"/>
        <v>45369600.00000001</v>
      </c>
      <c r="F37" s="162">
        <f t="shared" si="3"/>
        <v>48633600.00000001</v>
      </c>
      <c r="G37" s="162">
        <f t="shared" si="4"/>
        <v>50428800</v>
      </c>
      <c r="H37" s="427"/>
      <c r="J37" s="164"/>
      <c r="K37" s="165"/>
      <c r="L37" s="164"/>
    </row>
    <row r="38" spans="1:12" s="163" customFormat="1" ht="18">
      <c r="A38" s="169">
        <f t="shared" si="0"/>
        <v>33</v>
      </c>
      <c r="B38" s="91" t="s">
        <v>92</v>
      </c>
      <c r="C38" s="20">
        <v>2.34</v>
      </c>
      <c r="D38" s="162">
        <f t="shared" si="1"/>
        <v>36504000</v>
      </c>
      <c r="E38" s="162">
        <f t="shared" si="2"/>
        <v>39031200</v>
      </c>
      <c r="F38" s="162">
        <f t="shared" si="3"/>
        <v>41839200</v>
      </c>
      <c r="G38" s="162">
        <f t="shared" si="4"/>
        <v>43383600</v>
      </c>
      <c r="H38" s="426" t="s">
        <v>33</v>
      </c>
      <c r="J38" s="164"/>
      <c r="K38" s="165"/>
      <c r="L38" s="164"/>
    </row>
    <row r="39" spans="1:12" s="163" customFormat="1" ht="18">
      <c r="A39" s="169">
        <f t="shared" si="0"/>
        <v>34</v>
      </c>
      <c r="B39" s="91" t="s">
        <v>93</v>
      </c>
      <c r="C39" s="22">
        <v>2.1</v>
      </c>
      <c r="D39" s="162">
        <f t="shared" si="1"/>
        <v>32760000</v>
      </c>
      <c r="E39" s="162">
        <f t="shared" si="2"/>
        <v>35028000</v>
      </c>
      <c r="F39" s="162">
        <f t="shared" si="3"/>
        <v>37548000</v>
      </c>
      <c r="G39" s="162">
        <f t="shared" si="4"/>
        <v>38934000</v>
      </c>
      <c r="H39" s="427"/>
      <c r="J39" s="164"/>
      <c r="K39" s="165"/>
      <c r="L39" s="164"/>
    </row>
    <row r="40" spans="1:12" s="163" customFormat="1" ht="18">
      <c r="A40" s="169">
        <f t="shared" si="0"/>
        <v>35</v>
      </c>
      <c r="B40" s="91" t="s">
        <v>94</v>
      </c>
      <c r="C40" s="20">
        <v>2.72</v>
      </c>
      <c r="D40" s="162">
        <f t="shared" si="1"/>
        <v>42432000.00000001</v>
      </c>
      <c r="E40" s="162">
        <f t="shared" si="2"/>
        <v>45369600.00000001</v>
      </c>
      <c r="F40" s="162">
        <f t="shared" si="3"/>
        <v>48633600.00000001</v>
      </c>
      <c r="G40" s="162">
        <f t="shared" si="4"/>
        <v>50428800</v>
      </c>
      <c r="H40" s="426" t="s">
        <v>35</v>
      </c>
      <c r="J40" s="164"/>
      <c r="K40" s="165"/>
      <c r="L40" s="164"/>
    </row>
    <row r="41" spans="1:12" s="163" customFormat="1" ht="18">
      <c r="A41" s="169">
        <f t="shared" si="0"/>
        <v>36</v>
      </c>
      <c r="B41" s="183" t="s">
        <v>175</v>
      </c>
      <c r="C41" s="20">
        <v>3.8600000000000003</v>
      </c>
      <c r="D41" s="162">
        <f t="shared" si="1"/>
        <v>60216000</v>
      </c>
      <c r="E41" s="162">
        <f t="shared" si="2"/>
        <v>64384800</v>
      </c>
      <c r="F41" s="162">
        <f t="shared" si="3"/>
        <v>69016800.00000001</v>
      </c>
      <c r="G41" s="162">
        <f t="shared" si="4"/>
        <v>71564400.00000001</v>
      </c>
      <c r="H41" s="428"/>
      <c r="J41" s="164"/>
      <c r="K41" s="165"/>
      <c r="L41" s="164"/>
    </row>
    <row r="42" spans="1:12" s="163" customFormat="1" ht="18">
      <c r="A42" s="169">
        <f t="shared" si="0"/>
        <v>37</v>
      </c>
      <c r="B42" s="91" t="s">
        <v>34</v>
      </c>
      <c r="C42" s="19">
        <v>2.67</v>
      </c>
      <c r="D42" s="162">
        <f t="shared" si="1"/>
        <v>41652000</v>
      </c>
      <c r="E42" s="162">
        <f t="shared" si="2"/>
        <v>44535600</v>
      </c>
      <c r="F42" s="162">
        <f t="shared" si="3"/>
        <v>47739600</v>
      </c>
      <c r="G42" s="162">
        <f t="shared" si="4"/>
        <v>49501800</v>
      </c>
      <c r="H42" s="427"/>
      <c r="J42" s="164"/>
      <c r="K42" s="165"/>
      <c r="L42" s="164"/>
    </row>
    <row r="43" spans="1:12" s="163" customFormat="1" ht="18">
      <c r="A43" s="169">
        <f t="shared" si="0"/>
        <v>38</v>
      </c>
      <c r="B43" s="91" t="s">
        <v>95</v>
      </c>
      <c r="C43" s="19">
        <v>2.67</v>
      </c>
      <c r="D43" s="162">
        <f t="shared" si="1"/>
        <v>41652000</v>
      </c>
      <c r="E43" s="162">
        <f t="shared" si="2"/>
        <v>44535600</v>
      </c>
      <c r="F43" s="162">
        <f t="shared" si="3"/>
        <v>47739600</v>
      </c>
      <c r="G43" s="162">
        <f t="shared" si="4"/>
        <v>49501800</v>
      </c>
      <c r="H43" s="426" t="s">
        <v>36</v>
      </c>
      <c r="J43" s="164"/>
      <c r="K43" s="165"/>
      <c r="L43" s="164"/>
    </row>
    <row r="44" spans="1:12" s="163" customFormat="1" ht="18">
      <c r="A44" s="169">
        <f t="shared" si="0"/>
        <v>39</v>
      </c>
      <c r="B44" s="91" t="s">
        <v>96</v>
      </c>
      <c r="C44" s="20">
        <v>2.41</v>
      </c>
      <c r="D44" s="162">
        <f t="shared" si="1"/>
        <v>37596000</v>
      </c>
      <c r="E44" s="162">
        <f t="shared" si="2"/>
        <v>40198800</v>
      </c>
      <c r="F44" s="162">
        <f t="shared" si="3"/>
        <v>43090800</v>
      </c>
      <c r="G44" s="162">
        <f t="shared" si="4"/>
        <v>44681400</v>
      </c>
      <c r="H44" s="427"/>
      <c r="J44" s="164"/>
      <c r="K44" s="165"/>
      <c r="L44" s="164"/>
    </row>
    <row r="45" spans="1:12" s="163" customFormat="1" ht="18">
      <c r="A45" s="169">
        <f t="shared" si="0"/>
        <v>40</v>
      </c>
      <c r="B45" s="91" t="s">
        <v>97</v>
      </c>
      <c r="C45" s="19">
        <v>3.33</v>
      </c>
      <c r="D45" s="162">
        <f t="shared" si="1"/>
        <v>51948000</v>
      </c>
      <c r="E45" s="162">
        <f t="shared" si="2"/>
        <v>55544400</v>
      </c>
      <c r="F45" s="162">
        <f t="shared" si="3"/>
        <v>59540400</v>
      </c>
      <c r="G45" s="162">
        <f t="shared" si="4"/>
        <v>61738200</v>
      </c>
      <c r="H45" s="426" t="s">
        <v>37</v>
      </c>
      <c r="J45" s="164"/>
      <c r="K45" s="165"/>
      <c r="L45" s="164"/>
    </row>
    <row r="46" spans="1:12" s="163" customFormat="1" ht="18">
      <c r="A46" s="169">
        <f t="shared" si="0"/>
        <v>41</v>
      </c>
      <c r="B46" s="91" t="s">
        <v>98</v>
      </c>
      <c r="C46" s="19">
        <v>2.67</v>
      </c>
      <c r="D46" s="162"/>
      <c r="E46" s="162">
        <f t="shared" si="2"/>
        <v>44535600</v>
      </c>
      <c r="F46" s="162">
        <f t="shared" si="3"/>
        <v>47739600</v>
      </c>
      <c r="G46" s="162">
        <f t="shared" si="4"/>
        <v>49501800</v>
      </c>
      <c r="H46" s="427"/>
      <c r="J46" s="164"/>
      <c r="K46" s="165"/>
      <c r="L46" s="164"/>
    </row>
    <row r="47" spans="1:12" s="163" customFormat="1" ht="18">
      <c r="A47" s="169">
        <f t="shared" si="0"/>
        <v>42</v>
      </c>
      <c r="B47" s="91" t="s">
        <v>99</v>
      </c>
      <c r="C47" s="19">
        <v>2.72</v>
      </c>
      <c r="D47" s="162"/>
      <c r="E47" s="162">
        <f t="shared" si="2"/>
        <v>45369600.00000001</v>
      </c>
      <c r="F47" s="162">
        <f t="shared" si="3"/>
        <v>48633600.00000001</v>
      </c>
      <c r="G47" s="162">
        <f t="shared" si="4"/>
        <v>50428800</v>
      </c>
      <c r="H47" s="169" t="s">
        <v>38</v>
      </c>
      <c r="J47" s="164"/>
      <c r="K47" s="165"/>
      <c r="L47" s="164"/>
    </row>
    <row r="48" spans="1:12" s="163" customFormat="1" ht="18">
      <c r="A48" s="169">
        <f t="shared" si="0"/>
        <v>43</v>
      </c>
      <c r="B48" s="91" t="s">
        <v>100</v>
      </c>
      <c r="C48" s="19">
        <v>3.26</v>
      </c>
      <c r="D48" s="162"/>
      <c r="E48" s="162"/>
      <c r="F48" s="162">
        <f t="shared" si="3"/>
        <v>58288800</v>
      </c>
      <c r="G48" s="162">
        <f t="shared" si="4"/>
        <v>60440400</v>
      </c>
      <c r="H48" s="168" t="s">
        <v>38</v>
      </c>
      <c r="J48" s="164"/>
      <c r="K48" s="165"/>
      <c r="L48" s="164"/>
    </row>
    <row r="49" spans="1:12" s="163" customFormat="1" ht="18">
      <c r="A49" s="169">
        <f t="shared" si="0"/>
        <v>44</v>
      </c>
      <c r="B49" s="91" t="s">
        <v>101</v>
      </c>
      <c r="C49" s="19">
        <v>3.33</v>
      </c>
      <c r="D49" s="162"/>
      <c r="E49" s="162"/>
      <c r="F49" s="162">
        <f t="shared" si="3"/>
        <v>59540400</v>
      </c>
      <c r="G49" s="162">
        <f t="shared" si="4"/>
        <v>61738200</v>
      </c>
      <c r="H49" s="169" t="s">
        <v>38</v>
      </c>
      <c r="J49" s="164"/>
      <c r="K49" s="165"/>
      <c r="L49" s="164"/>
    </row>
    <row r="50" spans="1:12" s="163" customFormat="1" ht="18">
      <c r="A50" s="169">
        <f t="shared" si="0"/>
        <v>45</v>
      </c>
      <c r="B50" s="91" t="s">
        <v>115</v>
      </c>
      <c r="C50" s="46">
        <v>3.33</v>
      </c>
      <c r="D50" s="162"/>
      <c r="E50" s="162"/>
      <c r="F50" s="162">
        <f t="shared" si="3"/>
        <v>59540400</v>
      </c>
      <c r="G50" s="162">
        <f t="shared" si="4"/>
        <v>61738200</v>
      </c>
      <c r="H50" s="169" t="s">
        <v>38</v>
      </c>
      <c r="J50" s="164"/>
      <c r="K50" s="165"/>
      <c r="L50" s="164"/>
    </row>
    <row r="51" spans="1:12" s="163" customFormat="1" ht="18">
      <c r="A51" s="169">
        <f t="shared" si="0"/>
        <v>46</v>
      </c>
      <c r="B51" s="91" t="s">
        <v>118</v>
      </c>
      <c r="C51" s="46">
        <f>4.32+0.3</f>
        <v>4.62</v>
      </c>
      <c r="D51" s="162"/>
      <c r="E51" s="162"/>
      <c r="F51" s="162">
        <f t="shared" si="3"/>
        <v>82605600</v>
      </c>
      <c r="G51" s="162">
        <f t="shared" si="4"/>
        <v>85654800</v>
      </c>
      <c r="H51" s="169" t="s">
        <v>38</v>
      </c>
      <c r="J51" s="164"/>
      <c r="K51" s="165"/>
      <c r="L51" s="164"/>
    </row>
    <row r="52" spans="1:12" s="163" customFormat="1" ht="18">
      <c r="A52" s="169">
        <f t="shared" si="0"/>
        <v>47</v>
      </c>
      <c r="B52" s="91" t="s">
        <v>116</v>
      </c>
      <c r="C52" s="46">
        <v>3</v>
      </c>
      <c r="D52" s="162"/>
      <c r="E52" s="162"/>
      <c r="F52" s="162"/>
      <c r="G52" s="162">
        <f t="shared" si="4"/>
        <v>55620000</v>
      </c>
      <c r="H52" s="169" t="s">
        <v>38</v>
      </c>
      <c r="J52" s="164"/>
      <c r="K52" s="165"/>
      <c r="L52" s="164"/>
    </row>
    <row r="53" spans="1:12" ht="18">
      <c r="A53" s="17"/>
      <c r="B53" s="17" t="s">
        <v>39</v>
      </c>
      <c r="C53" s="19">
        <f>SUM(C6:C52)</f>
        <v>145.94000000000003</v>
      </c>
      <c r="D53" s="47">
        <f>SUM(D6:D52)</f>
        <v>1918956000</v>
      </c>
      <c r="E53" s="47">
        <f>SUM(E6:E52)</f>
        <v>2141712000</v>
      </c>
      <c r="F53" s="47">
        <f>SUM(F6:F52)</f>
        <v>2555767200</v>
      </c>
      <c r="G53" s="47">
        <f>SUM(G6:G52)</f>
        <v>2705727600</v>
      </c>
      <c r="H53" s="25"/>
      <c r="I53" s="26"/>
      <c r="J53" s="27"/>
      <c r="K53" s="28"/>
      <c r="L53" s="27"/>
    </row>
    <row r="54" spans="1:12" ht="18" hidden="1">
      <c r="A54" s="29" t="s">
        <v>10</v>
      </c>
      <c r="B54" s="29" t="s">
        <v>40</v>
      </c>
      <c r="C54" s="30">
        <f>SUM(C55:C56)</f>
        <v>2075266800.0000005</v>
      </c>
      <c r="D54" s="30"/>
      <c r="E54" s="31"/>
      <c r="F54" s="30"/>
      <c r="G54" s="30"/>
      <c r="H54" s="26"/>
      <c r="I54" s="26"/>
      <c r="J54" s="26"/>
      <c r="K54" s="26"/>
      <c r="L54" s="26"/>
    </row>
    <row r="55" spans="1:12" ht="18" hidden="1">
      <c r="A55" s="32"/>
      <c r="B55" s="32" t="s">
        <v>41</v>
      </c>
      <c r="C55" s="33">
        <f>C53*1150000*5</f>
        <v>839155000.0000001</v>
      </c>
      <c r="D55" s="33"/>
      <c r="E55" s="34"/>
      <c r="F55" s="33"/>
      <c r="G55" s="33"/>
      <c r="H55" s="26"/>
      <c r="I55" s="26"/>
      <c r="J55" s="26"/>
      <c r="K55" s="26"/>
      <c r="L55" s="26"/>
    </row>
    <row r="56" spans="1:12" ht="18" hidden="1">
      <c r="A56" s="32"/>
      <c r="B56" s="32" t="s">
        <v>42</v>
      </c>
      <c r="C56" s="33">
        <f>C53*1210000*7</f>
        <v>1236111800.0000002</v>
      </c>
      <c r="D56" s="33"/>
      <c r="E56" s="34"/>
      <c r="F56" s="33"/>
      <c r="G56" s="33"/>
      <c r="H56" s="26"/>
      <c r="I56" s="26"/>
      <c r="J56" s="26"/>
      <c r="K56" s="26"/>
      <c r="L56" s="26"/>
    </row>
    <row r="57" spans="1:12" ht="18" hidden="1">
      <c r="A57" s="29" t="s">
        <v>10</v>
      </c>
      <c r="B57" s="29" t="s">
        <v>43</v>
      </c>
      <c r="C57" s="30">
        <f>C54*24%</f>
        <v>498064032.0000001</v>
      </c>
      <c r="D57" s="30"/>
      <c r="E57" s="31"/>
      <c r="F57" s="30"/>
      <c r="G57" s="30"/>
      <c r="H57" s="26"/>
      <c r="I57" s="26"/>
      <c r="J57" s="26"/>
      <c r="K57" s="26"/>
      <c r="L57" s="26"/>
    </row>
    <row r="58" spans="1:12" ht="18" hidden="1">
      <c r="A58" s="29" t="s">
        <v>10</v>
      </c>
      <c r="B58" s="29" t="s">
        <v>44</v>
      </c>
      <c r="C58" s="30">
        <f>C57+C54</f>
        <v>2573330832.0000005</v>
      </c>
      <c r="D58" s="30"/>
      <c r="E58" s="31"/>
      <c r="F58" s="30"/>
      <c r="G58" s="30"/>
      <c r="H58" s="26"/>
      <c r="I58" s="26"/>
      <c r="J58" s="26"/>
      <c r="K58" s="26"/>
      <c r="L58" s="26"/>
    </row>
    <row r="59" spans="1:12" ht="18" hidden="1">
      <c r="A59" s="32" t="s">
        <v>10</v>
      </c>
      <c r="B59" s="29" t="s">
        <v>45</v>
      </c>
      <c r="C59" s="30">
        <f>30000000*24</f>
        <v>720000000</v>
      </c>
      <c r="D59" s="30"/>
      <c r="E59" s="31"/>
      <c r="F59" s="30"/>
      <c r="G59" s="30"/>
      <c r="H59" s="26"/>
      <c r="I59" s="26"/>
      <c r="J59" s="26"/>
      <c r="K59" s="26"/>
      <c r="L59" s="26"/>
    </row>
    <row r="60" spans="1:12" ht="25.5" customHeight="1" hidden="1">
      <c r="A60" s="26"/>
      <c r="B60" s="35" t="s">
        <v>46</v>
      </c>
      <c r="C60" s="36">
        <f>SUM(C58:C59)</f>
        <v>3293330832.0000005</v>
      </c>
      <c r="D60" s="38"/>
      <c r="E60" s="37"/>
      <c r="F60" s="38"/>
      <c r="G60" s="38"/>
      <c r="H60" s="26"/>
      <c r="I60" s="26"/>
      <c r="J60" s="26"/>
      <c r="K60" s="26"/>
      <c r="L60" s="26"/>
    </row>
    <row r="61" spans="1:12" ht="29.25" customHeight="1" hidden="1">
      <c r="A61" s="26"/>
      <c r="B61" s="17" t="s">
        <v>47</v>
      </c>
      <c r="C61" s="39">
        <f>74000000*24</f>
        <v>1776000000</v>
      </c>
      <c r="D61" s="41"/>
      <c r="E61" s="40"/>
      <c r="F61" s="41"/>
      <c r="G61" s="41"/>
      <c r="H61" s="26"/>
      <c r="I61" s="26"/>
      <c r="J61" s="26"/>
      <c r="K61" s="26"/>
      <c r="L61" s="26"/>
    </row>
    <row r="62" spans="1:12" ht="18" hidden="1">
      <c r="A62" s="26"/>
      <c r="B62" s="32"/>
      <c r="C62" s="42"/>
      <c r="D62" s="42"/>
      <c r="E62" s="43"/>
      <c r="F62" s="42"/>
      <c r="G62" s="42"/>
      <c r="H62" s="26"/>
      <c r="I62" s="26"/>
      <c r="J62" s="26"/>
      <c r="K62" s="26"/>
      <c r="L62" s="26"/>
    </row>
    <row r="63" spans="1:12" ht="18">
      <c r="A63" s="26"/>
      <c r="B63" s="32"/>
      <c r="C63" s="42"/>
      <c r="D63" s="42"/>
      <c r="E63" s="43"/>
      <c r="F63" s="42"/>
      <c r="G63" s="42"/>
      <c r="H63" s="26"/>
      <c r="I63" s="26"/>
      <c r="J63" s="26"/>
      <c r="K63" s="26"/>
      <c r="L63" s="26"/>
    </row>
    <row r="64" spans="1:12" ht="18">
      <c r="A64" s="26"/>
      <c r="B64" s="32"/>
      <c r="C64" s="42"/>
      <c r="D64" s="42"/>
      <c r="E64" s="43"/>
      <c r="F64" s="42"/>
      <c r="G64" s="42"/>
      <c r="H64" s="26"/>
      <c r="I64" s="26"/>
      <c r="J64" s="26"/>
      <c r="K64" s="26"/>
      <c r="L64" s="26"/>
    </row>
  </sheetData>
  <sheetProtection/>
  <mergeCells count="17">
    <mergeCell ref="L4:O4"/>
    <mergeCell ref="H6:H17"/>
    <mergeCell ref="H18:H22"/>
    <mergeCell ref="H23:H26"/>
    <mergeCell ref="H27:H28"/>
    <mergeCell ref="A4:A5"/>
    <mergeCell ref="B4:B5"/>
    <mergeCell ref="C4:C5"/>
    <mergeCell ref="D4:F4"/>
    <mergeCell ref="A2:H2"/>
    <mergeCell ref="H45:H46"/>
    <mergeCell ref="H29:H32"/>
    <mergeCell ref="H33:H35"/>
    <mergeCell ref="H36:H37"/>
    <mergeCell ref="H38:H39"/>
    <mergeCell ref="H40:H42"/>
    <mergeCell ref="H43:H4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64"/>
  <sheetViews>
    <sheetView zoomScalePageLayoutView="0" workbookViewId="0" topLeftCell="A31">
      <selection activeCell="F3" sqref="F3"/>
    </sheetView>
  </sheetViews>
  <sheetFormatPr defaultColWidth="6.99609375" defaultRowHeight="18.75"/>
  <cols>
    <col min="1" max="1" width="6.6640625" style="13" customWidth="1"/>
    <col min="2" max="2" width="24.5546875" style="10" customWidth="1"/>
    <col min="3" max="3" width="9.6640625" style="11" customWidth="1"/>
    <col min="4" max="4" width="14.4453125" style="11" customWidth="1"/>
    <col min="5" max="5" width="12.5546875" style="11" customWidth="1"/>
    <col min="6" max="6" width="23.5546875" style="13" customWidth="1"/>
    <col min="7" max="7" width="6.99609375" style="13" customWidth="1"/>
    <col min="8" max="8" width="9.77734375" style="13" bestFit="1" customWidth="1"/>
    <col min="9" max="9" width="7.88671875" style="13" bestFit="1" customWidth="1"/>
    <col min="10" max="16384" width="6.99609375" style="13" customWidth="1"/>
  </cols>
  <sheetData>
    <row r="1" ht="30.75" customHeight="1">
      <c r="A1" s="9" t="s">
        <v>15</v>
      </c>
    </row>
    <row r="2" spans="1:6" ht="48" customHeight="1">
      <c r="A2" s="424" t="s">
        <v>16</v>
      </c>
      <c r="B2" s="425"/>
      <c r="C2" s="425"/>
      <c r="D2" s="425"/>
      <c r="E2" s="425"/>
      <c r="F2" s="425"/>
    </row>
    <row r="3" spans="1:6" ht="33" customHeight="1">
      <c r="A3" s="117"/>
      <c r="B3" s="117"/>
      <c r="C3" s="117"/>
      <c r="D3" s="8">
        <v>1490000</v>
      </c>
      <c r="E3" s="8">
        <v>1600000</v>
      </c>
      <c r="F3" s="15" t="s">
        <v>17</v>
      </c>
    </row>
    <row r="4" spans="1:13" ht="42" customHeight="1">
      <c r="A4" s="431" t="s">
        <v>18</v>
      </c>
      <c r="B4" s="431" t="s">
        <v>19</v>
      </c>
      <c r="C4" s="433" t="s">
        <v>20</v>
      </c>
      <c r="D4" s="116"/>
      <c r="E4" s="8"/>
      <c r="F4" s="16" t="s">
        <v>21</v>
      </c>
      <c r="J4" s="429"/>
      <c r="K4" s="429"/>
      <c r="L4" s="429"/>
      <c r="M4" s="429"/>
    </row>
    <row r="5" spans="1:13" ht="69.75" customHeight="1">
      <c r="A5" s="432"/>
      <c r="B5" s="432"/>
      <c r="C5" s="434"/>
      <c r="D5" s="45" t="s">
        <v>156</v>
      </c>
      <c r="E5" s="45" t="s">
        <v>156</v>
      </c>
      <c r="F5" s="16"/>
      <c r="J5" s="118"/>
      <c r="K5" s="118"/>
      <c r="L5" s="118"/>
      <c r="M5" s="118"/>
    </row>
    <row r="6" spans="1:13" ht="18">
      <c r="A6" s="119">
        <v>1</v>
      </c>
      <c r="B6" s="91" t="s">
        <v>22</v>
      </c>
      <c r="C6" s="19">
        <v>3.33</v>
      </c>
      <c r="D6" s="8">
        <f>C6*$D$3*6</f>
        <v>29770200</v>
      </c>
      <c r="E6" s="8">
        <f>(C6*$E$3*6)</f>
        <v>31968000</v>
      </c>
      <c r="F6" s="430" t="s">
        <v>23</v>
      </c>
      <c r="J6" s="18"/>
      <c r="K6" s="18"/>
      <c r="L6" s="18"/>
      <c r="M6" s="18"/>
    </row>
    <row r="7" spans="1:6" ht="18">
      <c r="A7" s="119">
        <f>A6+1</f>
        <v>2</v>
      </c>
      <c r="B7" s="91" t="s">
        <v>24</v>
      </c>
      <c r="C7" s="19">
        <v>3</v>
      </c>
      <c r="D7" s="8">
        <f>C7*$D$3*6</f>
        <v>26820000</v>
      </c>
      <c r="E7" s="8">
        <f>(C7*$E$3*6)</f>
        <v>28800000</v>
      </c>
      <c r="F7" s="430"/>
    </row>
    <row r="8" spans="1:6" ht="18">
      <c r="A8" s="161">
        <f aca="true" t="shared" si="0" ref="A8:A52">A7+1</f>
        <v>3</v>
      </c>
      <c r="B8" s="170" t="s">
        <v>158</v>
      </c>
      <c r="C8" s="177">
        <v>4.720000000000001</v>
      </c>
      <c r="D8" s="8">
        <f aca="true" t="shared" si="1" ref="D8:D17">C8*$D$3*6</f>
        <v>42196800.00000001</v>
      </c>
      <c r="E8" s="8">
        <f aca="true" t="shared" si="2" ref="E8:E17">(C8*$E$3*6)</f>
        <v>45312000.00000001</v>
      </c>
      <c r="F8" s="430"/>
    </row>
    <row r="9" spans="1:6" ht="18">
      <c r="A9" s="161">
        <f t="shared" si="0"/>
        <v>4</v>
      </c>
      <c r="B9" s="171" t="s">
        <v>159</v>
      </c>
      <c r="C9" s="177">
        <v>3.33</v>
      </c>
      <c r="D9" s="8">
        <f t="shared" si="1"/>
        <v>29770200</v>
      </c>
      <c r="E9" s="8">
        <f t="shared" si="2"/>
        <v>31968000</v>
      </c>
      <c r="F9" s="430"/>
    </row>
    <row r="10" spans="1:6" ht="18">
      <c r="A10" s="161">
        <f t="shared" si="0"/>
        <v>5</v>
      </c>
      <c r="B10" s="172" t="s">
        <v>160</v>
      </c>
      <c r="C10" s="177">
        <v>3.1</v>
      </c>
      <c r="D10" s="8">
        <f t="shared" si="1"/>
        <v>27714000</v>
      </c>
      <c r="E10" s="8">
        <f t="shared" si="2"/>
        <v>29760000</v>
      </c>
      <c r="F10" s="430"/>
    </row>
    <row r="11" spans="1:6" ht="18">
      <c r="A11" s="161">
        <f t="shared" si="0"/>
        <v>6</v>
      </c>
      <c r="B11" s="173" t="s">
        <v>161</v>
      </c>
      <c r="C11" s="177">
        <v>3</v>
      </c>
      <c r="D11" s="8">
        <f t="shared" si="1"/>
        <v>26820000</v>
      </c>
      <c r="E11" s="8">
        <f t="shared" si="2"/>
        <v>28800000</v>
      </c>
      <c r="F11" s="430"/>
    </row>
    <row r="12" spans="1:6" ht="18">
      <c r="A12" s="161">
        <f t="shared" si="0"/>
        <v>7</v>
      </c>
      <c r="B12" s="173" t="s">
        <v>162</v>
      </c>
      <c r="C12" s="177">
        <v>3.33</v>
      </c>
      <c r="D12" s="8">
        <f t="shared" si="1"/>
        <v>29770200</v>
      </c>
      <c r="E12" s="8">
        <f t="shared" si="2"/>
        <v>31968000</v>
      </c>
      <c r="F12" s="430"/>
    </row>
    <row r="13" spans="1:6" ht="18">
      <c r="A13" s="161">
        <f t="shared" si="0"/>
        <v>8</v>
      </c>
      <c r="B13" s="174" t="s">
        <v>163</v>
      </c>
      <c r="C13" s="177">
        <v>3.7600000000000002</v>
      </c>
      <c r="D13" s="8">
        <f t="shared" si="1"/>
        <v>33614400</v>
      </c>
      <c r="E13" s="8">
        <f t="shared" si="2"/>
        <v>36096000</v>
      </c>
      <c r="F13" s="430"/>
    </row>
    <row r="14" spans="1:6" ht="18">
      <c r="A14" s="161">
        <f t="shared" si="0"/>
        <v>9</v>
      </c>
      <c r="B14" s="175" t="s">
        <v>164</v>
      </c>
      <c r="C14" s="177">
        <v>3</v>
      </c>
      <c r="D14" s="8">
        <f t="shared" si="1"/>
        <v>26820000</v>
      </c>
      <c r="E14" s="8">
        <f t="shared" si="2"/>
        <v>28800000</v>
      </c>
      <c r="F14" s="430"/>
    </row>
    <row r="15" spans="1:6" ht="18">
      <c r="A15" s="161">
        <f t="shared" si="0"/>
        <v>10</v>
      </c>
      <c r="B15" s="174" t="s">
        <v>165</v>
      </c>
      <c r="C15" s="177">
        <v>3.06</v>
      </c>
      <c r="D15" s="8">
        <f t="shared" si="1"/>
        <v>27356400</v>
      </c>
      <c r="E15" s="8">
        <f t="shared" si="2"/>
        <v>29376000</v>
      </c>
      <c r="F15" s="430"/>
    </row>
    <row r="16" spans="1:6" ht="18">
      <c r="A16" s="161">
        <f t="shared" si="0"/>
        <v>11</v>
      </c>
      <c r="B16" s="176" t="s">
        <v>166</v>
      </c>
      <c r="C16" s="19">
        <v>3</v>
      </c>
      <c r="D16" s="8">
        <f t="shared" si="1"/>
        <v>26820000</v>
      </c>
      <c r="E16" s="8">
        <f t="shared" si="2"/>
        <v>28800000</v>
      </c>
      <c r="F16" s="430"/>
    </row>
    <row r="17" spans="1:6" ht="18">
      <c r="A17" s="161">
        <f t="shared" si="0"/>
        <v>12</v>
      </c>
      <c r="B17" s="91" t="s">
        <v>81</v>
      </c>
      <c r="C17" s="19">
        <v>2.67</v>
      </c>
      <c r="D17" s="8">
        <f t="shared" si="1"/>
        <v>23869800</v>
      </c>
      <c r="E17" s="8">
        <f t="shared" si="2"/>
        <v>25632000</v>
      </c>
      <c r="F17" s="430"/>
    </row>
    <row r="18" spans="1:6" ht="18">
      <c r="A18" s="161">
        <f t="shared" si="0"/>
        <v>13</v>
      </c>
      <c r="B18" s="91" t="s">
        <v>25</v>
      </c>
      <c r="C18" s="20">
        <v>3.99</v>
      </c>
      <c r="D18" s="8">
        <f aca="true" t="shared" si="3" ref="D18:D52">C18*$D$3*6</f>
        <v>35670600</v>
      </c>
      <c r="E18" s="8">
        <f aca="true" t="shared" si="4" ref="E18:E52">(C18*$E$3*6)</f>
        <v>38304000</v>
      </c>
      <c r="F18" s="426" t="s">
        <v>26</v>
      </c>
    </row>
    <row r="19" spans="1:6" ht="18">
      <c r="A19" s="161">
        <f t="shared" si="0"/>
        <v>14</v>
      </c>
      <c r="B19" s="91" t="s">
        <v>167</v>
      </c>
      <c r="C19" s="20">
        <v>2.87</v>
      </c>
      <c r="D19" s="8">
        <f aca="true" t="shared" si="5" ref="D19:D27">C19*$D$3*6</f>
        <v>25657800</v>
      </c>
      <c r="E19" s="8">
        <f aca="true" t="shared" si="6" ref="E19:E27">(C19*$E$3*6)</f>
        <v>27552000</v>
      </c>
      <c r="F19" s="428"/>
    </row>
    <row r="20" spans="1:6" ht="18">
      <c r="A20" s="161">
        <f t="shared" si="0"/>
        <v>15</v>
      </c>
      <c r="B20" s="174" t="s">
        <v>168</v>
      </c>
      <c r="C20" s="20">
        <v>3.66</v>
      </c>
      <c r="D20" s="8">
        <f t="shared" si="5"/>
        <v>32720400</v>
      </c>
      <c r="E20" s="8">
        <f t="shared" si="6"/>
        <v>35136000</v>
      </c>
      <c r="F20" s="428"/>
    </row>
    <row r="21" spans="1:6" ht="18">
      <c r="A21" s="161">
        <f t="shared" si="0"/>
        <v>16</v>
      </c>
      <c r="B21" s="174" t="s">
        <v>169</v>
      </c>
      <c r="C21" s="20">
        <v>3</v>
      </c>
      <c r="D21" s="8">
        <f t="shared" si="5"/>
        <v>26820000</v>
      </c>
      <c r="E21" s="8">
        <f t="shared" si="6"/>
        <v>28800000</v>
      </c>
      <c r="F21" s="428"/>
    </row>
    <row r="22" spans="1:6" ht="18">
      <c r="A22" s="161">
        <f t="shared" si="0"/>
        <v>17</v>
      </c>
      <c r="B22" s="91" t="s">
        <v>82</v>
      </c>
      <c r="C22" s="20">
        <v>2.66</v>
      </c>
      <c r="D22" s="8">
        <f t="shared" si="5"/>
        <v>23780400</v>
      </c>
      <c r="E22" s="8">
        <f t="shared" si="6"/>
        <v>25536000</v>
      </c>
      <c r="F22" s="427"/>
    </row>
    <row r="23" spans="1:10" ht="18">
      <c r="A23" s="161">
        <f t="shared" si="0"/>
        <v>18</v>
      </c>
      <c r="B23" s="91" t="s">
        <v>83</v>
      </c>
      <c r="C23" s="19">
        <v>2.34</v>
      </c>
      <c r="D23" s="8">
        <f t="shared" si="5"/>
        <v>20919600</v>
      </c>
      <c r="E23" s="8">
        <f t="shared" si="6"/>
        <v>22464000</v>
      </c>
      <c r="F23" s="426" t="s">
        <v>27</v>
      </c>
      <c r="H23" s="18"/>
      <c r="I23" s="18"/>
      <c r="J23" s="18"/>
    </row>
    <row r="24" spans="1:10" ht="18">
      <c r="A24" s="161">
        <f t="shared" si="0"/>
        <v>19</v>
      </c>
      <c r="B24" s="179" t="s">
        <v>171</v>
      </c>
      <c r="C24" s="19">
        <v>3.96</v>
      </c>
      <c r="D24" s="8">
        <f t="shared" si="5"/>
        <v>35402400</v>
      </c>
      <c r="E24" s="8">
        <f t="shared" si="6"/>
        <v>38016000</v>
      </c>
      <c r="F24" s="428"/>
      <c r="H24" s="18"/>
      <c r="I24" s="18"/>
      <c r="J24" s="18"/>
    </row>
    <row r="25" spans="1:10" ht="18">
      <c r="A25" s="161">
        <f t="shared" si="0"/>
        <v>20</v>
      </c>
      <c r="B25" s="178" t="s">
        <v>170</v>
      </c>
      <c r="C25" s="19">
        <v>3.33</v>
      </c>
      <c r="D25" s="8">
        <f t="shared" si="5"/>
        <v>29770200</v>
      </c>
      <c r="E25" s="8">
        <f t="shared" si="6"/>
        <v>31968000</v>
      </c>
      <c r="F25" s="428"/>
      <c r="H25" s="18"/>
      <c r="I25" s="18"/>
      <c r="J25" s="18"/>
    </row>
    <row r="26" spans="1:10" ht="18">
      <c r="A26" s="161">
        <f t="shared" si="0"/>
        <v>21</v>
      </c>
      <c r="B26" s="91" t="s">
        <v>84</v>
      </c>
      <c r="C26" s="19">
        <v>2.46</v>
      </c>
      <c r="D26" s="8">
        <f t="shared" si="5"/>
        <v>21992400</v>
      </c>
      <c r="E26" s="8">
        <f t="shared" si="6"/>
        <v>23616000</v>
      </c>
      <c r="F26" s="427"/>
      <c r="H26" s="18"/>
      <c r="I26" s="18"/>
      <c r="J26" s="18"/>
    </row>
    <row r="27" spans="1:10" ht="18">
      <c r="A27" s="161">
        <f t="shared" si="0"/>
        <v>22</v>
      </c>
      <c r="B27" s="91" t="s">
        <v>85</v>
      </c>
      <c r="C27" s="20">
        <v>3</v>
      </c>
      <c r="D27" s="8">
        <f t="shared" si="5"/>
        <v>26820000</v>
      </c>
      <c r="E27" s="8">
        <f t="shared" si="6"/>
        <v>28800000</v>
      </c>
      <c r="F27" s="426" t="s">
        <v>28</v>
      </c>
      <c r="H27" s="18"/>
      <c r="I27" s="18"/>
      <c r="J27" s="18"/>
    </row>
    <row r="28" spans="1:10" ht="18">
      <c r="A28" s="161">
        <f t="shared" si="0"/>
        <v>23</v>
      </c>
      <c r="B28" s="91" t="s">
        <v>86</v>
      </c>
      <c r="C28" s="20">
        <v>3.66</v>
      </c>
      <c r="D28" s="8">
        <f t="shared" si="3"/>
        <v>32720400</v>
      </c>
      <c r="E28" s="8">
        <f t="shared" si="4"/>
        <v>35136000</v>
      </c>
      <c r="F28" s="427"/>
      <c r="H28" s="18"/>
      <c r="I28" s="18"/>
      <c r="J28" s="18"/>
    </row>
    <row r="29" spans="1:10" ht="18">
      <c r="A29" s="161">
        <f t="shared" si="0"/>
        <v>24</v>
      </c>
      <c r="B29" s="91" t="s">
        <v>87</v>
      </c>
      <c r="C29" s="19">
        <v>2.34</v>
      </c>
      <c r="D29" s="8">
        <f t="shared" si="3"/>
        <v>20919600</v>
      </c>
      <c r="E29" s="8">
        <f t="shared" si="4"/>
        <v>22464000</v>
      </c>
      <c r="F29" s="426" t="s">
        <v>29</v>
      </c>
      <c r="H29" s="18"/>
      <c r="I29" s="18"/>
      <c r="J29" s="18"/>
    </row>
    <row r="30" spans="1:10" ht="18">
      <c r="A30" s="161">
        <f t="shared" si="0"/>
        <v>25</v>
      </c>
      <c r="B30" s="180" t="s">
        <v>172</v>
      </c>
      <c r="C30" s="19">
        <v>4.19</v>
      </c>
      <c r="D30" s="8">
        <f>C30*$D$3*6</f>
        <v>37458600.00000001</v>
      </c>
      <c r="E30" s="8">
        <f>(C30*$E$3*6)</f>
        <v>40224000.00000001</v>
      </c>
      <c r="F30" s="428"/>
      <c r="H30" s="18"/>
      <c r="I30" s="18"/>
      <c r="J30" s="18"/>
    </row>
    <row r="31" spans="1:10" ht="18">
      <c r="A31" s="161">
        <f t="shared" si="0"/>
        <v>26</v>
      </c>
      <c r="B31" s="181" t="s">
        <v>173</v>
      </c>
      <c r="C31" s="19">
        <v>2.77</v>
      </c>
      <c r="D31" s="8">
        <f>C31*$D$3*6</f>
        <v>24763800</v>
      </c>
      <c r="E31" s="8">
        <f>(C31*$E$3*6)</f>
        <v>26592000</v>
      </c>
      <c r="F31" s="428"/>
      <c r="H31" s="18"/>
      <c r="I31" s="18"/>
      <c r="J31" s="18"/>
    </row>
    <row r="32" spans="1:10" ht="18">
      <c r="A32" s="161">
        <f t="shared" si="0"/>
        <v>27</v>
      </c>
      <c r="B32" s="91" t="s">
        <v>88</v>
      </c>
      <c r="C32" s="19">
        <v>3.26</v>
      </c>
      <c r="D32" s="8">
        <f>C32*$D$3*6</f>
        <v>29144400</v>
      </c>
      <c r="E32" s="8">
        <f>(C32*$E$3*6)</f>
        <v>31296000</v>
      </c>
      <c r="F32" s="427"/>
      <c r="H32" s="18"/>
      <c r="I32" s="18"/>
      <c r="J32" s="18"/>
    </row>
    <row r="33" spans="1:10" ht="18">
      <c r="A33" s="161">
        <f t="shared" si="0"/>
        <v>28</v>
      </c>
      <c r="B33" s="91" t="s">
        <v>89</v>
      </c>
      <c r="C33" s="19">
        <v>2.1</v>
      </c>
      <c r="D33" s="8">
        <f t="shared" si="3"/>
        <v>18774000</v>
      </c>
      <c r="E33" s="8">
        <f t="shared" si="4"/>
        <v>20160000</v>
      </c>
      <c r="F33" s="426" t="s">
        <v>30</v>
      </c>
      <c r="H33" s="18"/>
      <c r="I33" s="21"/>
      <c r="J33" s="18"/>
    </row>
    <row r="34" spans="1:10" ht="18">
      <c r="A34" s="161">
        <f t="shared" si="0"/>
        <v>29</v>
      </c>
      <c r="B34" s="182" t="s">
        <v>174</v>
      </c>
      <c r="C34" s="19">
        <v>3.63</v>
      </c>
      <c r="D34" s="8">
        <f>C34*$D$3*6</f>
        <v>32452200</v>
      </c>
      <c r="E34" s="8">
        <f>(C34*$E$3*6)</f>
        <v>34848000</v>
      </c>
      <c r="F34" s="428"/>
      <c r="H34" s="18"/>
      <c r="I34" s="21"/>
      <c r="J34" s="18"/>
    </row>
    <row r="35" spans="1:10" ht="18">
      <c r="A35" s="161">
        <f t="shared" si="0"/>
        <v>30</v>
      </c>
      <c r="B35" s="91" t="s">
        <v>90</v>
      </c>
      <c r="C35" s="20">
        <v>3</v>
      </c>
      <c r="D35" s="8">
        <f t="shared" si="3"/>
        <v>26820000</v>
      </c>
      <c r="E35" s="8">
        <f t="shared" si="4"/>
        <v>28800000</v>
      </c>
      <c r="F35" s="427"/>
      <c r="H35" s="18"/>
      <c r="I35" s="21"/>
      <c r="J35" s="18"/>
    </row>
    <row r="36" spans="1:10" ht="18">
      <c r="A36" s="161">
        <f t="shared" si="0"/>
        <v>31</v>
      </c>
      <c r="B36" s="91" t="s">
        <v>31</v>
      </c>
      <c r="C36" s="20">
        <v>2.67</v>
      </c>
      <c r="D36" s="8">
        <f t="shared" si="3"/>
        <v>23869800</v>
      </c>
      <c r="E36" s="8">
        <f t="shared" si="4"/>
        <v>25632000</v>
      </c>
      <c r="F36" s="426" t="s">
        <v>32</v>
      </c>
      <c r="H36" s="18"/>
      <c r="I36" s="18"/>
      <c r="J36" s="18"/>
    </row>
    <row r="37" spans="1:10" ht="18">
      <c r="A37" s="161">
        <f t="shared" si="0"/>
        <v>32</v>
      </c>
      <c r="B37" s="91" t="s">
        <v>91</v>
      </c>
      <c r="C37" s="22">
        <v>2.72</v>
      </c>
      <c r="D37" s="8">
        <f t="shared" si="3"/>
        <v>24316800.000000004</v>
      </c>
      <c r="E37" s="8">
        <f t="shared" si="4"/>
        <v>26112000</v>
      </c>
      <c r="F37" s="427"/>
      <c r="H37" s="18"/>
      <c r="I37" s="18"/>
      <c r="J37" s="18"/>
    </row>
    <row r="38" spans="1:10" ht="18">
      <c r="A38" s="161">
        <f t="shared" si="0"/>
        <v>33</v>
      </c>
      <c r="B38" s="91" t="s">
        <v>92</v>
      </c>
      <c r="C38" s="20">
        <v>2.34</v>
      </c>
      <c r="D38" s="8">
        <f t="shared" si="3"/>
        <v>20919600</v>
      </c>
      <c r="E38" s="8">
        <f t="shared" si="4"/>
        <v>22464000</v>
      </c>
      <c r="F38" s="426" t="s">
        <v>33</v>
      </c>
      <c r="H38" s="18"/>
      <c r="I38" s="18"/>
      <c r="J38" s="18"/>
    </row>
    <row r="39" spans="1:10" ht="18">
      <c r="A39" s="161">
        <f t="shared" si="0"/>
        <v>34</v>
      </c>
      <c r="B39" s="91" t="s">
        <v>93</v>
      </c>
      <c r="C39" s="22">
        <v>2.1</v>
      </c>
      <c r="D39" s="8">
        <f t="shared" si="3"/>
        <v>18774000</v>
      </c>
      <c r="E39" s="8">
        <f t="shared" si="4"/>
        <v>20160000</v>
      </c>
      <c r="F39" s="427"/>
      <c r="H39" s="18"/>
      <c r="I39" s="18"/>
      <c r="J39" s="18"/>
    </row>
    <row r="40" spans="1:10" ht="18">
      <c r="A40" s="161">
        <f t="shared" si="0"/>
        <v>35</v>
      </c>
      <c r="B40" s="91" t="s">
        <v>94</v>
      </c>
      <c r="C40" s="20">
        <v>2.72</v>
      </c>
      <c r="D40" s="8">
        <f t="shared" si="3"/>
        <v>24316800.000000004</v>
      </c>
      <c r="E40" s="8">
        <f t="shared" si="4"/>
        <v>26112000</v>
      </c>
      <c r="F40" s="426" t="s">
        <v>35</v>
      </c>
      <c r="H40" s="23"/>
      <c r="I40" s="24"/>
      <c r="J40" s="18"/>
    </row>
    <row r="41" spans="1:10" ht="18">
      <c r="A41" s="161">
        <f t="shared" si="0"/>
        <v>36</v>
      </c>
      <c r="B41" s="183" t="s">
        <v>175</v>
      </c>
      <c r="C41" s="20">
        <v>3.8600000000000003</v>
      </c>
      <c r="D41" s="8">
        <f>C41*$D$3*6</f>
        <v>34508400.00000001</v>
      </c>
      <c r="E41" s="8">
        <f>(C41*$E$3*6)</f>
        <v>37056000.00000001</v>
      </c>
      <c r="F41" s="428"/>
      <c r="H41" s="23"/>
      <c r="I41" s="24"/>
      <c r="J41" s="18"/>
    </row>
    <row r="42" spans="1:10" ht="18">
      <c r="A42" s="161">
        <f t="shared" si="0"/>
        <v>37</v>
      </c>
      <c r="B42" s="91" t="s">
        <v>34</v>
      </c>
      <c r="C42" s="19">
        <v>2.67</v>
      </c>
      <c r="D42" s="8">
        <f>C42*$D$3*6</f>
        <v>23869800</v>
      </c>
      <c r="E42" s="8">
        <f>(C42*$E$3*6)</f>
        <v>25632000</v>
      </c>
      <c r="F42" s="427"/>
      <c r="H42" s="23"/>
      <c r="I42" s="24"/>
      <c r="J42" s="18"/>
    </row>
    <row r="43" spans="1:10" ht="18">
      <c r="A43" s="161">
        <f t="shared" si="0"/>
        <v>38</v>
      </c>
      <c r="B43" s="91" t="s">
        <v>95</v>
      </c>
      <c r="C43" s="19">
        <v>2.67</v>
      </c>
      <c r="D43" s="8">
        <f t="shared" si="3"/>
        <v>23869800</v>
      </c>
      <c r="E43" s="8">
        <f t="shared" si="4"/>
        <v>25632000</v>
      </c>
      <c r="F43" s="426" t="s">
        <v>36</v>
      </c>
      <c r="H43" s="18"/>
      <c r="I43" s="24"/>
      <c r="J43" s="18"/>
    </row>
    <row r="44" spans="1:10" ht="18">
      <c r="A44" s="161">
        <f t="shared" si="0"/>
        <v>39</v>
      </c>
      <c r="B44" s="91" t="s">
        <v>96</v>
      </c>
      <c r="C44" s="20">
        <v>2.41</v>
      </c>
      <c r="D44" s="8">
        <f t="shared" si="3"/>
        <v>21545400</v>
      </c>
      <c r="E44" s="8">
        <f t="shared" si="4"/>
        <v>23136000</v>
      </c>
      <c r="F44" s="427"/>
      <c r="H44" s="18"/>
      <c r="I44" s="24"/>
      <c r="J44" s="18"/>
    </row>
    <row r="45" spans="1:10" ht="18">
      <c r="A45" s="161">
        <f t="shared" si="0"/>
        <v>40</v>
      </c>
      <c r="B45" s="91" t="s">
        <v>97</v>
      </c>
      <c r="C45" s="19">
        <v>3.33</v>
      </c>
      <c r="D45" s="8">
        <f t="shared" si="3"/>
        <v>29770200</v>
      </c>
      <c r="E45" s="8">
        <f t="shared" si="4"/>
        <v>31968000</v>
      </c>
      <c r="F45" s="426" t="s">
        <v>37</v>
      </c>
      <c r="H45" s="18"/>
      <c r="I45" s="24"/>
      <c r="J45" s="18"/>
    </row>
    <row r="46" spans="1:10" ht="18">
      <c r="A46" s="161">
        <f t="shared" si="0"/>
        <v>41</v>
      </c>
      <c r="B46" s="91" t="s">
        <v>98</v>
      </c>
      <c r="C46" s="19">
        <v>2.67</v>
      </c>
      <c r="D46" s="8">
        <f t="shared" si="3"/>
        <v>23869800</v>
      </c>
      <c r="E46" s="8">
        <f t="shared" si="4"/>
        <v>25632000</v>
      </c>
      <c r="F46" s="427"/>
      <c r="H46" s="18"/>
      <c r="I46" s="24"/>
      <c r="J46" s="18"/>
    </row>
    <row r="47" spans="1:10" ht="18">
      <c r="A47" s="161">
        <f t="shared" si="0"/>
        <v>42</v>
      </c>
      <c r="B47" s="91" t="s">
        <v>99</v>
      </c>
      <c r="C47" s="19">
        <v>2.72</v>
      </c>
      <c r="D47" s="8">
        <f t="shared" si="3"/>
        <v>24316800.000000004</v>
      </c>
      <c r="E47" s="8">
        <f t="shared" si="4"/>
        <v>26112000</v>
      </c>
      <c r="F47" s="119" t="s">
        <v>38</v>
      </c>
      <c r="H47" s="18"/>
      <c r="I47" s="24"/>
      <c r="J47" s="18"/>
    </row>
    <row r="48" spans="1:10" ht="18">
      <c r="A48" s="161">
        <f t="shared" si="0"/>
        <v>43</v>
      </c>
      <c r="B48" s="91" t="s">
        <v>100</v>
      </c>
      <c r="C48" s="19">
        <v>3.26</v>
      </c>
      <c r="D48" s="8">
        <f t="shared" si="3"/>
        <v>29144400</v>
      </c>
      <c r="E48" s="8">
        <f t="shared" si="4"/>
        <v>31296000</v>
      </c>
      <c r="F48" s="115" t="s">
        <v>38</v>
      </c>
      <c r="H48" s="18"/>
      <c r="I48" s="24"/>
      <c r="J48" s="18"/>
    </row>
    <row r="49" spans="1:10" ht="18">
      <c r="A49" s="161">
        <f t="shared" si="0"/>
        <v>44</v>
      </c>
      <c r="B49" s="91" t="s">
        <v>101</v>
      </c>
      <c r="C49" s="19">
        <v>3.33</v>
      </c>
      <c r="D49" s="8">
        <f t="shared" si="3"/>
        <v>29770200</v>
      </c>
      <c r="E49" s="8">
        <f t="shared" si="4"/>
        <v>31968000</v>
      </c>
      <c r="F49" s="119" t="s">
        <v>38</v>
      </c>
      <c r="H49" s="18"/>
      <c r="I49" s="24"/>
      <c r="J49" s="18"/>
    </row>
    <row r="50" spans="1:10" ht="18">
      <c r="A50" s="161">
        <f t="shared" si="0"/>
        <v>45</v>
      </c>
      <c r="B50" s="91" t="s">
        <v>115</v>
      </c>
      <c r="C50" s="46">
        <v>3.33</v>
      </c>
      <c r="D50" s="8">
        <f t="shared" si="3"/>
        <v>29770200</v>
      </c>
      <c r="E50" s="8">
        <f t="shared" si="4"/>
        <v>31968000</v>
      </c>
      <c r="F50" s="119" t="s">
        <v>38</v>
      </c>
      <c r="H50" s="18"/>
      <c r="I50" s="24"/>
      <c r="J50" s="18"/>
    </row>
    <row r="51" spans="1:10" ht="18">
      <c r="A51" s="161">
        <f t="shared" si="0"/>
        <v>46</v>
      </c>
      <c r="B51" s="91" t="s">
        <v>118</v>
      </c>
      <c r="C51" s="46">
        <f>4.32+0.3</f>
        <v>4.62</v>
      </c>
      <c r="D51" s="8">
        <f t="shared" si="3"/>
        <v>41302800</v>
      </c>
      <c r="E51" s="8">
        <f t="shared" si="4"/>
        <v>44352000</v>
      </c>
      <c r="F51" s="119" t="s">
        <v>38</v>
      </c>
      <c r="H51" s="18"/>
      <c r="I51" s="24"/>
      <c r="J51" s="18"/>
    </row>
    <row r="52" spans="1:10" ht="18">
      <c r="A52" s="161">
        <f t="shared" si="0"/>
        <v>47</v>
      </c>
      <c r="B52" s="91" t="s">
        <v>116</v>
      </c>
      <c r="C52" s="46">
        <v>3</v>
      </c>
      <c r="D52" s="8">
        <f t="shared" si="3"/>
        <v>26820000</v>
      </c>
      <c r="E52" s="8">
        <f t="shared" si="4"/>
        <v>28800000</v>
      </c>
      <c r="F52" s="119" t="s">
        <v>38</v>
      </c>
      <c r="H52" s="18"/>
      <c r="I52" s="24"/>
      <c r="J52" s="18"/>
    </row>
    <row r="53" spans="1:10" ht="18">
      <c r="A53" s="119"/>
      <c r="B53" s="119" t="s">
        <v>39</v>
      </c>
      <c r="C53" s="19">
        <f>SUM(C6:C52)</f>
        <v>145.94000000000003</v>
      </c>
      <c r="D53" s="47">
        <f>SUM(D6:D52)</f>
        <v>1304703600</v>
      </c>
      <c r="E53" s="47">
        <f>SUM(E6:E52)</f>
        <v>1401024000</v>
      </c>
      <c r="F53" s="25"/>
      <c r="G53" s="26"/>
      <c r="H53" s="27"/>
      <c r="I53" s="28"/>
      <c r="J53" s="27"/>
    </row>
    <row r="54" spans="1:10" ht="18" hidden="1">
      <c r="A54" s="29" t="s">
        <v>10</v>
      </c>
      <c r="B54" s="29" t="s">
        <v>40</v>
      </c>
      <c r="C54" s="30">
        <f>SUM(C55:C56)</f>
        <v>2075266800.0000005</v>
      </c>
      <c r="D54" s="30"/>
      <c r="E54" s="30"/>
      <c r="F54" s="26"/>
      <c r="G54" s="26"/>
      <c r="H54" s="26"/>
      <c r="I54" s="26"/>
      <c r="J54" s="26"/>
    </row>
    <row r="55" spans="1:10" ht="18" hidden="1">
      <c r="A55" s="32"/>
      <c r="B55" s="32" t="s">
        <v>41</v>
      </c>
      <c r="C55" s="33">
        <f>C53*1150000*5</f>
        <v>839155000.0000001</v>
      </c>
      <c r="D55" s="33"/>
      <c r="E55" s="33"/>
      <c r="F55" s="26"/>
      <c r="G55" s="26"/>
      <c r="H55" s="26"/>
      <c r="I55" s="26"/>
      <c r="J55" s="26"/>
    </row>
    <row r="56" spans="1:10" ht="18" hidden="1">
      <c r="A56" s="32"/>
      <c r="B56" s="32" t="s">
        <v>42</v>
      </c>
      <c r="C56" s="33">
        <f>C53*1210000*7</f>
        <v>1236111800.0000002</v>
      </c>
      <c r="D56" s="33"/>
      <c r="E56" s="33"/>
      <c r="F56" s="26"/>
      <c r="G56" s="26"/>
      <c r="H56" s="26"/>
      <c r="I56" s="26"/>
      <c r="J56" s="26"/>
    </row>
    <row r="57" spans="1:10" ht="18" hidden="1">
      <c r="A57" s="29" t="s">
        <v>10</v>
      </c>
      <c r="B57" s="29" t="s">
        <v>43</v>
      </c>
      <c r="C57" s="30">
        <f>C54*24%</f>
        <v>498064032.0000001</v>
      </c>
      <c r="D57" s="30"/>
      <c r="E57" s="30"/>
      <c r="F57" s="26"/>
      <c r="G57" s="26"/>
      <c r="H57" s="26"/>
      <c r="I57" s="26"/>
      <c r="J57" s="26"/>
    </row>
    <row r="58" spans="1:10" ht="18" hidden="1">
      <c r="A58" s="29" t="s">
        <v>10</v>
      </c>
      <c r="B58" s="29" t="s">
        <v>44</v>
      </c>
      <c r="C58" s="30">
        <f>C57+C54</f>
        <v>2573330832.0000005</v>
      </c>
      <c r="D58" s="30"/>
      <c r="E58" s="30"/>
      <c r="F58" s="26"/>
      <c r="G58" s="26"/>
      <c r="H58" s="26"/>
      <c r="I58" s="26"/>
      <c r="J58" s="26"/>
    </row>
    <row r="59" spans="1:10" ht="18" hidden="1">
      <c r="A59" s="32" t="s">
        <v>10</v>
      </c>
      <c r="B59" s="29" t="s">
        <v>45</v>
      </c>
      <c r="C59" s="30">
        <f>30000000*24</f>
        <v>720000000</v>
      </c>
      <c r="D59" s="30"/>
      <c r="E59" s="30"/>
      <c r="F59" s="26"/>
      <c r="G59" s="26"/>
      <c r="H59" s="26"/>
      <c r="I59" s="26"/>
      <c r="J59" s="26"/>
    </row>
    <row r="60" spans="1:10" ht="25.5" customHeight="1" hidden="1">
      <c r="A60" s="26"/>
      <c r="B60" s="35" t="s">
        <v>46</v>
      </c>
      <c r="C60" s="36">
        <f>SUM(C58:C59)</f>
        <v>3293330832.0000005</v>
      </c>
      <c r="D60" s="38"/>
      <c r="E60" s="38"/>
      <c r="F60" s="26"/>
      <c r="G60" s="26"/>
      <c r="H60" s="26"/>
      <c r="I60" s="26"/>
      <c r="J60" s="26"/>
    </row>
    <row r="61" spans="1:10" ht="29.25" customHeight="1" hidden="1">
      <c r="A61" s="26"/>
      <c r="B61" s="119" t="s">
        <v>47</v>
      </c>
      <c r="C61" s="39">
        <f>74000000*24</f>
        <v>1776000000</v>
      </c>
      <c r="D61" s="41"/>
      <c r="E61" s="41"/>
      <c r="F61" s="26"/>
      <c r="G61" s="26"/>
      <c r="H61" s="26"/>
      <c r="I61" s="26"/>
      <c r="J61" s="26"/>
    </row>
    <row r="62" spans="1:10" ht="18" hidden="1">
      <c r="A62" s="26"/>
      <c r="B62" s="32"/>
      <c r="C62" s="42"/>
      <c r="D62" s="42"/>
      <c r="E62" s="42"/>
      <c r="F62" s="26"/>
      <c r="G62" s="26"/>
      <c r="H62" s="26"/>
      <c r="I62" s="26"/>
      <c r="J62" s="26"/>
    </row>
    <row r="63" spans="1:10" ht="18">
      <c r="A63" s="26"/>
      <c r="B63" s="32"/>
      <c r="C63" s="42"/>
      <c r="D63" s="42"/>
      <c r="E63" s="42"/>
      <c r="F63" s="26"/>
      <c r="G63" s="26"/>
      <c r="H63" s="26"/>
      <c r="I63" s="26"/>
      <c r="J63" s="26"/>
    </row>
    <row r="64" spans="1:10" ht="18">
      <c r="A64" s="26"/>
      <c r="B64" s="32"/>
      <c r="C64" s="42"/>
      <c r="D64" s="8">
        <f>D53+E53</f>
        <v>2705727600</v>
      </c>
      <c r="E64" s="42"/>
      <c r="F64" s="26"/>
      <c r="G64" s="26"/>
      <c r="H64" s="26"/>
      <c r="I64" s="26"/>
      <c r="J64" s="26"/>
    </row>
  </sheetData>
  <sheetProtection/>
  <mergeCells count="16">
    <mergeCell ref="F33:F35"/>
    <mergeCell ref="A2:F2"/>
    <mergeCell ref="A4:A5"/>
    <mergeCell ref="B4:B5"/>
    <mergeCell ref="C4:C5"/>
    <mergeCell ref="J4:M4"/>
    <mergeCell ref="F36:F37"/>
    <mergeCell ref="F38:F39"/>
    <mergeCell ref="F40:F42"/>
    <mergeCell ref="F43:F44"/>
    <mergeCell ref="F45:F46"/>
    <mergeCell ref="F6:F17"/>
    <mergeCell ref="F18:F22"/>
    <mergeCell ref="F23:F26"/>
    <mergeCell ref="F27:F28"/>
    <mergeCell ref="F29:F32"/>
  </mergeCells>
  <printOptions/>
  <pageMargins left="0.7" right="0.7" top="0" bottom="0" header="0.3" footer="0.3"/>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 phong dang ky quyen su dung dat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 Hien</dc:creator>
  <cp:keywords/>
  <dc:description/>
  <cp:lastModifiedBy>FNU LNU</cp:lastModifiedBy>
  <cp:lastPrinted>2024-03-13T03:58:28Z</cp:lastPrinted>
  <dcterms:created xsi:type="dcterms:W3CDTF">2012-09-12T01:28:16Z</dcterms:created>
  <dcterms:modified xsi:type="dcterms:W3CDTF">2024-03-28T10:04:36Z</dcterms:modified>
  <cp:category/>
  <cp:version/>
  <cp:contentType/>
  <cp:contentStatus/>
</cp:coreProperties>
</file>